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alendário" sheetId="1" r:id="rId4"/>
  </sheets>
  <definedNames>
    <definedName name="CaléndárioMês10Opção">MATCH(CaléndárioMês10,Meses,0)</definedName>
    <definedName name="CaléndárioMês11Opção">MATCH(CaléndárioMês11,Meses,0)</definedName>
    <definedName name="CaléndárioMês12Opção">MATCH(CaléndárioMês12,Meses,0)</definedName>
    <definedName name="CaléndárioMês1Opção">MATCH(CaléndárioMês1,Meses,0)</definedName>
    <definedName name="CaléndárioMês2Opção">MATCH(CaléndárioMês2,Meses,0)</definedName>
    <definedName name="CaléndárioMês3Opção">MATCH(CaléndárioMês3,Meses,0)</definedName>
    <definedName name="CaléndárioMês4Opção">MATCH(CaléndárioMês4,Meses,0)</definedName>
    <definedName name="CaléndárioMês5Opção">MATCH(CaléndárioMês5,Meses,0)</definedName>
    <definedName name="CaléndárioMês6Opção">MATCH(CaléndárioMês6,Meses,0)</definedName>
    <definedName name="CaléndárioMês7Opção">MATCH(CaléndárioMês7,Meses,0)</definedName>
    <definedName name="CaléndárioMês8Opção">MATCH(CaléndárioMês8,Meses,0)</definedName>
    <definedName name="CaléndárioMês9Opção">MATCH(CaléndárioMês9,Meses,0)</definedName>
    <definedName name="DiaDaSemanaOpção">MATCH(InícioDaSemana,DiasDaSemana,0)+10</definedName>
    <definedName name="Dias">{0,1,2,3,4,5,6}</definedName>
    <definedName name="DiasDaSemana">{"SEGUNDA-FEIRA","TERÇA-FEIRA","QUARTA-FEIRA","QUINTA-FEIRA","SEXTA-FEIRA","SÁBADO","DOMINGO"}</definedName>
    <definedName name="Meses">{"Janeiro","Fevereiro","Março","Abril","Maio","Junho","Julho","Agosto","Setembro","Outubro","Novembro","Dezembro"}</definedName>
    <definedName name="ValorDoInícioDaSemana">IF(InícioDaSemana="SEGUNDA-FEIRA",2,1)</definedName>
    <definedName name="RegiãoTítuloColuna30..D140.1">'Calendário'!$D$140</definedName>
    <definedName name="CaléndárioMês12">'Calendário'!$C$156</definedName>
    <definedName name="CaléndárioMês6">'Calendário'!$C$72</definedName>
    <definedName name="RegiãoTítuloColuna21..D98.1">'Calendário'!$D$98</definedName>
    <definedName name="CalendárioAno3">'Calendário'!$B$30</definedName>
    <definedName name="CaléndárioMês5">'Calendário'!$C$58</definedName>
    <definedName name="RegiãoTítuloColuna7..H40.1">'Calendário'!$B$31</definedName>
    <definedName name="RegiãoTítuloColuna1..H12.1">'Calendário'!$B$3</definedName>
    <definedName name="RegiãoTítuloColuna3..D14.1">'Calendário'!$D$14</definedName>
    <definedName name="RegiãoTítuloColuna15..D70.1">'Calendário'!$D$70</definedName>
    <definedName name="CaléndárioMês3">'Calendário'!$C$30</definedName>
    <definedName name="CalendárioAno5">'Calendário'!$B$58</definedName>
    <definedName name="CaléndárioMês8">'Calendário'!$C$100</definedName>
    <definedName name="InícioDaSemana">'Calendário'!$B$3</definedName>
    <definedName name="CalendárioAno9">'Calendário'!$B$114</definedName>
    <definedName name="RegiãoTítuloColuna26..C126.1">'Calendário'!$B$115</definedName>
    <definedName name="RegiãoTítuloColuna14..C70.1">'Calendário'!$B$59</definedName>
    <definedName name="CaléndárioMês2">'Calendário'!$C$16</definedName>
    <definedName name="RegiãoTítuloColuna9..D42.1">'Calendário'!$D$42</definedName>
    <definedName name="RegiãoTítuloColuna34..H166.1">'Calendário'!$B$157</definedName>
    <definedName name="RegiãoTítuloColuna16..H82.1">'Calendário'!$B$73</definedName>
    <definedName name="CalendárioAno1">'Calendário'!$B$2</definedName>
    <definedName name="RegiãoTítuloColuna17..C84.1">'Calendário'!$B$73</definedName>
    <definedName name="RegiãoTítuloColuna24..D112.1">'Calendário'!$D$112</definedName>
    <definedName name="CalendárioAno8">'Calendário'!$B$100</definedName>
    <definedName name="CalendárioAno2">'Calendário'!$B$16</definedName>
    <definedName name="RegiãoTítuloColuna12..D56.1">'Calendário'!$D$56</definedName>
    <definedName name="RegiãoTítuloColuna11..C56.1">'Calendário'!$B$45</definedName>
    <definedName name="CalendárioAno10">'Calendário'!$B$128</definedName>
    <definedName name="RegiãoTítuloColuna5..C28.1">'Calendário'!$B$17</definedName>
    <definedName name="RegiãoTítuloColuna27..D126.1">'Calendário'!$D$126</definedName>
    <definedName name="CaléndárioMês7">'Calendário'!$C$86</definedName>
    <definedName name="RegiãoTítuloColuna13..H68.1">'Calendário'!$B$59</definedName>
    <definedName name="RegiãoTítuloColuna4..H26.1">'Calendário'!$B$17</definedName>
    <definedName name="CaléndárioMês1">'Calendário'!$C$2</definedName>
    <definedName name="CaléndárioMês11">'Calendário'!$C$142</definedName>
    <definedName name="RegiãoTítuloColuna36..D168.1">'Calendário'!$D$168</definedName>
    <definedName name="RegiãoTítuloColuna6..D28.1">'Calendário'!$D$28</definedName>
    <definedName name="RegiãoTítuloColuna20..C98.1">'Calendário'!$B$87</definedName>
    <definedName name="CaléndárioMês9">'Calendário'!$C$114</definedName>
    <definedName name="CalendárioAno6">'Calendário'!$B$72</definedName>
    <definedName name="CaléndárioMês10">'Calendário'!$C$128</definedName>
    <definedName name="RegiãoTítuloColuna2..C14.1">'Calendário'!$B$3</definedName>
    <definedName name="RegiãoTítuloColuna22..H110.1">'Calendário'!$B$101</definedName>
    <definedName name="RegiãoTítuloColuna29..C140.1">'Calendário'!$B$129</definedName>
    <definedName name="RegiãoTítuloColuna10..H54.1">'Calendário'!$B$45</definedName>
    <definedName name="CalendárioAno7">'Calendário'!$B$86</definedName>
    <definedName name="RegiãoTítuloColuna25..H124.1">'Calendário'!$B$115</definedName>
    <definedName name="RegiãoTítuloColuna18..D84.1">'Calendário'!$D$84</definedName>
    <definedName name="RegiãoTítuloColuna35..C168.1">'Calendário'!$B$157</definedName>
    <definedName name="CalendárioAno12">'Calendário'!$B$156</definedName>
    <definedName name="RegiãoTítuloColuna23..C112.1">'Calendário'!$B$101</definedName>
    <definedName name="RegiãoTítuloColuna31..H152.1">'Calendário'!$B$143</definedName>
    <definedName name="RegiãoTítuloColuna33..D154.1">'Calendário'!$D$154</definedName>
    <definedName name="RegiãoTítuloColuna28..H138.1">'Calendário'!$B$129</definedName>
    <definedName name="RegiãoTítuloColuna19..H96.1">'Calendário'!$B$87</definedName>
    <definedName name="RegiãoTítuloColuna8..C42.1">'Calendário'!$B$31</definedName>
    <definedName name="CalendárioAno11">'Calendário'!$B$142</definedName>
    <definedName name="CalendárioAno4">'Calendário'!$B$44</definedName>
    <definedName name="RegiãoTítuloColuna32..C154.1">'Calendário'!$B$143</definedName>
    <definedName name="CaléndárioMês4">'Calendário'!$C$44</definedName>
  </definedNames>
  <calcPr/>
  <extLst>
    <ext uri="GoogleSheetsCustomDataVersion2">
      <go:sheetsCustomData xmlns:go="http://customooxmlschemas.google.com/" r:id="rId5" roundtripDataChecksum="ds901rmEhl6c45O2b6qfYauIruLzulFOOMowucgzUL4="/>
    </ext>
  </extLst>
</workbook>
</file>

<file path=xl/sharedStrings.xml><?xml version="1.0" encoding="utf-8"?>
<sst xmlns="http://schemas.openxmlformats.org/spreadsheetml/2006/main" count="83" uniqueCount="71">
  <si>
    <r>
      <rPr>
        <rFont val="Trebuchet MS"/>
        <color rgb="FFFFFFFF"/>
        <sz val="14.0"/>
      </rPr>
      <t>CALENDÁRIO PPGDA - 2026</t>
    </r>
    <r>
      <rPr>
        <rFont val="Trebuchet MS"/>
        <b/>
        <color rgb="FFFFFFFF"/>
        <sz val="20.0"/>
      </rPr>
      <t xml:space="preserve">
Doutorado em Direito Ambiental</t>
    </r>
  </si>
  <si>
    <t>janeiro</t>
  </si>
  <si>
    <t>DOMINGO</t>
  </si>
  <si>
    <t>Aula Magna do Doutorado e do Mestrado</t>
  </si>
  <si>
    <t>Anotações:</t>
  </si>
  <si>
    <t>Término das férias Docente</t>
  </si>
  <si>
    <r>
      <rPr>
        <rFont val="Arial"/>
        <b/>
        <color rgb="FFFF0000"/>
        <sz val="9.0"/>
      </rPr>
      <t xml:space="preserve">INÍCIO DO PERÍODO LETÍVO 2026.1
</t>
    </r>
    <r>
      <rPr>
        <rFont val="Arial"/>
        <b/>
        <color theme="1"/>
        <sz val="9.0"/>
      </rPr>
      <t xml:space="preserve">
</t>
    </r>
  </si>
  <si>
    <r>
      <rPr>
        <rFont val="Arial"/>
        <b/>
        <color theme="1"/>
        <sz val="9.0"/>
      </rPr>
      <t xml:space="preserve">Aula 1 - Meio Ambiente, Territorialidade e Grilagem na Amazônia (linha de pesquisa I)
</t>
    </r>
    <r>
      <rPr>
        <rFont val="Arial"/>
        <b/>
        <color rgb="FF0000FF"/>
        <sz val="9.0"/>
      </rPr>
      <t>Doutorado - Optativa ( 4 créditos - 60 horas )</t>
    </r>
    <r>
      <rPr>
        <rFont val="Arial"/>
        <b/>
        <color theme="1"/>
        <sz val="9.0"/>
      </rPr>
      <t xml:space="preserve">
</t>
    </r>
    <r>
      <rPr>
        <rFont val="Arial"/>
        <color theme="1"/>
        <sz val="9.0"/>
      </rPr>
      <t xml:space="preserve">Prof. Dr. Bianor Saraiva, Prof. Dr. Neuton de Lima e Prof. Dr. Ricardo Albuquerque.
18 às 22h, sala 4
</t>
    </r>
    <r>
      <rPr>
        <rFont val="Arial"/>
        <b/>
        <color theme="1"/>
        <sz val="9.0"/>
      </rPr>
      <t xml:space="preserve">Aula 1 - Trabalho digno, Cadeias Produtivas e Respostas Jurídicas (linha de pesquisa II)
</t>
    </r>
    <r>
      <rPr>
        <rFont val="Arial"/>
        <b/>
        <color rgb="FF0000FF"/>
        <sz val="9.0"/>
      </rPr>
      <t xml:space="preserve">Doutorado - Optativa ( 4 créditos - 60 horas )
</t>
    </r>
    <r>
      <rPr>
        <rFont val="Arial"/>
        <color theme="1"/>
        <sz val="9.0"/>
      </rPr>
      <t>Profa. Dra. Márcia Medina e Prof. Dr. Emerson de Sá
18 às 22h, sala 5</t>
    </r>
  </si>
  <si>
    <r>
      <rPr>
        <rFont val="Arial"/>
        <color theme="1"/>
        <sz val="9.0"/>
      </rPr>
      <t xml:space="preserve">
</t>
    </r>
    <r>
      <rPr>
        <rFont val="Arial"/>
        <b/>
        <color theme="1"/>
        <sz val="9.0"/>
      </rPr>
      <t xml:space="preserve">
</t>
    </r>
  </si>
  <si>
    <r>
      <rPr>
        <rFont val="Arial"/>
        <b/>
        <color theme="1"/>
        <sz val="9.0"/>
      </rPr>
      <t xml:space="preserve">Aula 1 - O Fator Regulação e sua Relação com as Políticas Públicas Ambientais 
</t>
    </r>
    <r>
      <rPr>
        <rFont val="Arial"/>
        <b/>
        <color rgb="FF0000FF"/>
        <sz val="9.0"/>
      </rPr>
      <t xml:space="preserve">(Doutorado) - Optativa ( 4 créditos - 60 horas )
</t>
    </r>
    <r>
      <rPr>
        <rFont val="Arial"/>
        <color theme="1"/>
        <sz val="9.0"/>
      </rPr>
      <t xml:space="preserve">Profa. Dra. Naira Neila Norte
14 às 18h, sala 5
</t>
    </r>
  </si>
  <si>
    <r>
      <rPr>
        <rFont val="Arial"/>
        <b/>
        <color theme="1"/>
        <sz val="9.0"/>
      </rPr>
      <t xml:space="preserve">Aula 2 - Meio Ambiente, Territorialidade e Grilagem na Amazônia (linha de pesquisa I)
</t>
    </r>
    <r>
      <rPr>
        <rFont val="Arial"/>
        <b/>
        <color rgb="FF0000FF"/>
        <sz val="9.0"/>
      </rPr>
      <t>Doutorado - Optativa ( 4 créditos - 60 horas )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Prof. Dr. Bianor Saraiva, Prof. Dr. Neuton de Lima e Prof. Dr. Ricardo Albuquerque.
18 às 22h, sala 4
</t>
    </r>
    <r>
      <rPr>
        <rFont val="Arial"/>
        <b/>
        <color theme="1"/>
        <sz val="9.0"/>
      </rPr>
      <t xml:space="preserve">
Aula 2 - Trabalho digno, Cadeias Produtivas e Respostas Jurídicas (linha de pesquisa II)
</t>
    </r>
    <r>
      <rPr>
        <rFont val="Arial"/>
        <b/>
        <color rgb="FF0000FF"/>
        <sz val="9.0"/>
      </rPr>
      <t xml:space="preserve">Doutorado - Optativa ( 4 créditos - 60 horas )
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>Profa. Dra. Márcia Medina e Prof. Dr. Emerson de Sá
18 às 22h, sala 5</t>
    </r>
  </si>
  <si>
    <t xml:space="preserve">
</t>
  </si>
  <si>
    <r>
      <rPr>
        <rFont val="Arial"/>
        <b/>
        <color theme="1"/>
        <sz val="9.0"/>
      </rPr>
      <t xml:space="preserve">Aula 2 - O Fator Regulação e sua Relação com as Políticas Públicas Ambientais
</t>
    </r>
    <r>
      <rPr>
        <rFont val="Arial"/>
        <b/>
        <color rgb="FF0000FF"/>
        <sz val="9.0"/>
      </rPr>
      <t>(Doutorado) - Optativa ( 4 créditos - 60 horas )</t>
    </r>
    <r>
      <rPr>
        <rFont val="Arial"/>
        <color theme="1"/>
        <sz val="9.0"/>
      </rPr>
      <t xml:space="preserve">
Profa. Dra. Naira Neila Norte
14 às 18h, sala
</t>
    </r>
  </si>
  <si>
    <r>
      <rPr>
        <rFont val="Arial"/>
        <b/>
        <color theme="1"/>
        <sz val="9.0"/>
      </rPr>
      <t xml:space="preserve">Aula 3 - Meio Ambiente, Territorialidade e Grilagem na Amazônia (linha de pesquisa I)
</t>
    </r>
    <r>
      <rPr>
        <rFont val="Arial"/>
        <b/>
        <color rgb="FF0000FF"/>
        <sz val="9.0"/>
      </rPr>
      <t>Doutorado - Optativa ( 4 créditos - 60 horas )</t>
    </r>
    <r>
      <rPr>
        <rFont val="Arial"/>
        <color theme="1"/>
        <sz val="9.0"/>
      </rPr>
      <t xml:space="preserve">
Prof. Dr. Bianor Saraiva, Prof. Dr. Neuton de Lima e Prof. Dr. Ricardo Albuquerque.
18 às 22h, sala 4
</t>
    </r>
    <r>
      <rPr>
        <rFont val="Arial"/>
        <b/>
        <color theme="1"/>
        <sz val="9.0"/>
      </rPr>
      <t xml:space="preserve">Aula 3 - Trabalho digno, Cadeias Produtivas e Respostas Jurídicas (linha de pesquisa II)
</t>
    </r>
    <r>
      <rPr>
        <rFont val="Arial"/>
        <b/>
        <color rgb="FF0000FF"/>
        <sz val="9.0"/>
      </rPr>
      <t>Doutorado - Optativa ( 4 créditos - 60 horas )</t>
    </r>
    <r>
      <rPr>
        <rFont val="Arial"/>
        <color theme="1"/>
        <sz val="9.0"/>
      </rPr>
      <t xml:space="preserve">
Profa. Dra. Márcia Medina e Prof. Dr. Emerson de Sá
18 às 22h, sala 5</t>
    </r>
  </si>
  <si>
    <r>
      <rPr>
        <rFont val="Arial"/>
        <b/>
        <color theme="1"/>
        <sz val="9.0"/>
      </rPr>
      <t xml:space="preserve">Aula 3 - O Fator Regulação e sua Relação com as Políticas Públicas Ambientais
</t>
    </r>
    <r>
      <rPr>
        <rFont val="Arial"/>
        <b/>
        <color rgb="FF0000FF"/>
        <sz val="9.0"/>
      </rPr>
      <t>(Doutorado) - Optativa ( 4 créditos - 60 horas )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Profa. Dra. Naira Neila Norte
14 às 18h, sala 5
</t>
    </r>
  </si>
  <si>
    <r>
      <rPr>
        <rFont val="Arial"/>
        <b/>
        <color theme="1"/>
        <sz val="9.0"/>
      </rPr>
      <t xml:space="preserve">Aula 4 - Meio Ambiente, Territorialidade e Grilagem na Amazônia (linha de pesquisa I)
</t>
    </r>
    <r>
      <rPr>
        <rFont val="Arial"/>
        <b/>
        <color rgb="FF0000FF"/>
        <sz val="9.0"/>
      </rPr>
      <t>Doutorado - Optativa ( 4 créditos - 60 horas )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Prof. Dr. Bianor Saraiva, Prof. Dr. Neuton de Lima e Prof. Dr. Ricardo Albuquerque.
18 às 22h, sala 4
</t>
    </r>
    <r>
      <rPr>
        <rFont val="Arial"/>
        <b/>
        <color theme="1"/>
        <sz val="9.0"/>
      </rPr>
      <t xml:space="preserve">
Aula 4 - Trabalho digno, Cadeias Produtivas e Respostas Jurídicas (linha de pesquisa II)
</t>
    </r>
    <r>
      <rPr>
        <rFont val="Arial"/>
        <b/>
        <color rgb="FF0000FF"/>
        <sz val="9.0"/>
      </rPr>
      <t>Doutorado - Optativa ( 4 créditos - 60 horas )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>Profa. Dra. Márcia Medina e Prof. Dr. Emerson de Sá
18 às 22h, sala 5</t>
    </r>
  </si>
  <si>
    <r>
      <rPr>
        <rFont val="Arial"/>
        <b/>
        <color theme="1"/>
        <sz val="9.0"/>
      </rPr>
      <t xml:space="preserve">Aula 1 - Amazônia, povos e culturas tradicionais
</t>
    </r>
    <r>
      <rPr>
        <rFont val="Arial"/>
        <b/>
        <color rgb="FF0000FF"/>
        <sz val="9.0"/>
      </rPr>
      <t xml:space="preserve">(Doutorado) - Obrigatória geral ( 2 créditos - 30 horas )
</t>
    </r>
    <r>
      <rPr>
        <rFont val="Arial"/>
        <color theme="1"/>
        <sz val="9.0"/>
      </rPr>
      <t xml:space="preserve">Profas. Dras. Luziane de Figueiredo Simão Leal e Silvia Maria da Silveira Loureiro
15 às 18h. sala 5
</t>
    </r>
  </si>
  <si>
    <t>PONTO FACULTATIVO 
Semana Santa</t>
  </si>
  <si>
    <r>
      <rPr>
        <rFont val="Arial"/>
        <color theme="1"/>
        <sz val="9.0"/>
      </rPr>
      <t xml:space="preserve">
</t>
    </r>
    <r>
      <rPr>
        <rFont val="Arial"/>
        <b/>
        <color theme="1"/>
        <sz val="9.0"/>
      </rPr>
      <t xml:space="preserve">Aula 5 - Meio Ambiente,  Territorialidade e Grilagem na Amazônia (linha de pesquisa I)
</t>
    </r>
    <r>
      <rPr>
        <rFont val="Arial"/>
        <b/>
        <color rgb="FF0000FF"/>
        <sz val="9.0"/>
      </rPr>
      <t>Doutorado - Optativa ( 4 créditos - 60 horas )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Prof. Dr. Bianor Saraiva, Prof. Dr. Neuton de Lima e Prof. Dr. Ricardo Albuquerque.
18 às 22h, sala 4
</t>
    </r>
    <r>
      <rPr>
        <rFont val="Arial"/>
        <b/>
        <color theme="1"/>
        <sz val="9.0"/>
      </rPr>
      <t xml:space="preserve">
Aula 5 - Trabalho digno, Cadeias Produtivas e Respostas Jurídicas (linha de pesquisa II)
</t>
    </r>
    <r>
      <rPr>
        <rFont val="Arial"/>
        <b/>
        <color rgb="FF0000FF"/>
        <sz val="9.0"/>
      </rPr>
      <t>Doutorado - Optativa ( 4 créditos - 60 horas )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>Profa. Dra. Márcia Medina e Prof. Dr. Emerson de Sá
18 às 22h, sala 5</t>
    </r>
  </si>
  <si>
    <r>
      <rPr>
        <rFont val="Arial"/>
        <b/>
        <color theme="1"/>
        <sz val="9.0"/>
      </rPr>
      <t xml:space="preserve">Aula 2 - Amazônia, povos e culturas tradicionais
</t>
    </r>
    <r>
      <rPr>
        <rFont val="Arial"/>
        <b/>
        <color rgb="FF0000FF"/>
        <sz val="9.0"/>
      </rPr>
      <t>(Doutorado) - Obrigatória geral ( 2 créditos - 30 horas )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>Profas. Dras. Luziane de Figueiredo Simão Leal e Silvia Maria da Silveira Loureiro
15 às 18h. sala 5</t>
    </r>
  </si>
  <si>
    <r>
      <rPr>
        <rFont val="Arial"/>
        <b/>
        <color theme="1"/>
        <sz val="9.0"/>
      </rPr>
      <t xml:space="preserve">Aula 4 - O Fator Regulação e sua Relação com as Políticas Públicas Ambientais
</t>
    </r>
    <r>
      <rPr>
        <rFont val="Arial"/>
        <b/>
        <color rgb="FF0000FF"/>
        <sz val="9.0"/>
      </rPr>
      <t>(Doutorado) - Optativa  ( 4 créditos - 60 horas )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Profa. Dra. Naira Neila Norte
14 às 18h, sala 5
</t>
    </r>
    <r>
      <rPr>
        <rFont val="Arial"/>
        <b/>
        <color theme="1"/>
        <sz val="9.0"/>
      </rPr>
      <t xml:space="preserve"> </t>
    </r>
  </si>
  <si>
    <r>
      <rPr>
        <rFont val="Arial"/>
        <b/>
        <color theme="1"/>
        <sz val="9.0"/>
      </rPr>
      <t xml:space="preserve">Aula 6 - Meio Ambiente, Territorialidade e Grilagem na Amazônia (linha de pesquisa I)
</t>
    </r>
    <r>
      <rPr>
        <rFont val="Arial"/>
        <b/>
        <color rgb="FF0000FF"/>
        <sz val="9.0"/>
      </rPr>
      <t>Doutorado - Optativa ( 4 créditos - 60 horas )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Prof. Dr. Bianor Saraiva, Prof. Dr. Neuton de Lima e Prof. Dr. Ricardo Albuquerque.
18 às 22h, sala 4
</t>
    </r>
    <r>
      <rPr>
        <rFont val="Arial"/>
        <b/>
        <color theme="1"/>
        <sz val="9.0"/>
      </rPr>
      <t xml:space="preserve">Aula 6 - Trabalho digno, Cadeias Produtivas e Respostas Jurídicas (linha de pesquisa II)
</t>
    </r>
    <r>
      <rPr>
        <rFont val="Arial"/>
        <b/>
        <color rgb="FF0000FF"/>
        <sz val="9.0"/>
      </rPr>
      <t xml:space="preserve">Doutorado - Optativa ( 4 créditos - 60 horas )
</t>
    </r>
    <r>
      <rPr>
        <rFont val="Arial"/>
        <color theme="1"/>
        <sz val="9.0"/>
      </rPr>
      <t>Profa. Dra. Márcia Medina e Prof. Dr. Emerson de Sá
18 às 22h, sala 5</t>
    </r>
  </si>
  <si>
    <r>
      <rPr>
        <rFont val="Arial"/>
        <b/>
        <color theme="1"/>
        <sz val="9.0"/>
      </rPr>
      <t xml:space="preserve">Aula 3 - Amazônia, povos e culturas tradicionais
</t>
    </r>
    <r>
      <rPr>
        <rFont val="Arial"/>
        <b/>
        <color rgb="FF0000FF"/>
        <sz val="9.0"/>
      </rPr>
      <t xml:space="preserve">(Doutorado) - Obrigatória - ( 3 créditos - 60 horas)
</t>
    </r>
    <r>
      <rPr>
        <rFont val="Arial"/>
        <color theme="1"/>
        <sz val="9.0"/>
      </rPr>
      <t xml:space="preserve">Profas. Dras. Luziane de Figueiredo Simão Leal e Silvia Maria da Silveira Loureiro
15 às 18h. sala 5
</t>
    </r>
  </si>
  <si>
    <r>
      <rPr>
        <rFont val="Arial"/>
        <b/>
        <color theme="1"/>
        <sz val="9.0"/>
      </rPr>
      <t xml:space="preserve">Aula 5 - O Fator Regulação e sua Relação com as Políticas Públicas Ambientais
</t>
    </r>
    <r>
      <rPr>
        <rFont val="Arial"/>
        <b/>
        <color rgb="FF0000FF"/>
        <sz val="9.0"/>
      </rPr>
      <t>(Doutorado) - Optativa ( 4 créditos - 60 horas )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Profa. Dra. Naira Neila Norte
14 às 18h, sala 5
</t>
    </r>
  </si>
  <si>
    <r>
      <rPr>
        <rFont val="Arial"/>
        <b/>
        <color rgb="FFFF0000"/>
        <sz val="9.0"/>
      </rPr>
      <t>Feriado – Tiradentes</t>
    </r>
    <r>
      <rPr>
        <rFont val="Arial"/>
        <b/>
        <color rgb="FFFF0000"/>
        <sz val="9.0"/>
      </rPr>
      <t xml:space="preserve">
</t>
    </r>
  </si>
  <si>
    <r>
      <rPr>
        <rFont val="Arial"/>
        <b/>
        <color theme="1"/>
        <sz val="9.0"/>
      </rPr>
      <t xml:space="preserve">Aula 7 - Meio Ambiente, Territorialidade e Grilagem na Amazônia (linha de pesquisa I)
</t>
    </r>
    <r>
      <rPr>
        <rFont val="Arial"/>
        <b/>
        <color rgb="FF0000FF"/>
        <sz val="9.0"/>
      </rPr>
      <t>Doutorado - Optativa ( 4 créditos - 60 horas )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Prof. Dr. Bianor Saraiva, Prof. Dr. Neuton de Lima e Prof. Dr. Ricardo Albuquerque.
18 às 22h, sala 4
</t>
    </r>
    <r>
      <rPr>
        <rFont val="Arial"/>
        <b/>
        <color theme="1"/>
        <sz val="9.0"/>
      </rPr>
      <t>Aula 7 - Trabalho digno, Cadeias Produtivas e Respostas Jurídicas (linha de pesquisa II)</t>
    </r>
    <r>
      <rPr>
        <rFont val="Arial"/>
        <color theme="1"/>
        <sz val="9.0"/>
      </rPr>
      <t xml:space="preserve">
</t>
    </r>
    <r>
      <rPr>
        <rFont val="Arial"/>
        <b/>
        <color rgb="FF0000FF"/>
        <sz val="9.0"/>
      </rPr>
      <t xml:space="preserve">Doutorado - Optativa ( 4 créditos - 60 horas )
</t>
    </r>
    <r>
      <rPr>
        <rFont val="Arial"/>
        <color theme="1"/>
        <sz val="9.0"/>
      </rPr>
      <t xml:space="preserve">Profa. Dra. Márcia Medina e Prof. Dr. Emerson de Sá
18 às 22h, sala 5
</t>
    </r>
  </si>
  <si>
    <r>
      <rPr>
        <rFont val="Arial"/>
        <b/>
        <color theme="1"/>
        <sz val="9.0"/>
      </rPr>
      <t xml:space="preserve">Aula 4 - Amazônia, povos e culturas tradicionais
</t>
    </r>
    <r>
      <rPr>
        <rFont val="Arial"/>
        <b/>
        <color rgb="FF0000FF"/>
        <sz val="9.0"/>
      </rPr>
      <t xml:space="preserve">(Doutorado) - Obrigatória - ( 2 créditos - 30 horas )
</t>
    </r>
    <r>
      <rPr>
        <rFont val="Arial"/>
        <color theme="1"/>
        <sz val="9.0"/>
      </rPr>
      <t xml:space="preserve">Profas. Dras. Luziane de Figueiredo Simão Leal e Silvia Maria da Silveira Loureiro
15 às 18h. sala 5
</t>
    </r>
  </si>
  <si>
    <r>
      <rPr>
        <rFont val="Arial"/>
        <b/>
        <color theme="1"/>
        <sz val="9.0"/>
      </rPr>
      <t xml:space="preserve">Aula 6 - O Fator Regulação e sua Relação com as Políticas Públicas Ambientais 
</t>
    </r>
    <r>
      <rPr>
        <rFont val="Arial"/>
        <b/>
        <color rgb="FF0000FF"/>
        <sz val="9.0"/>
      </rPr>
      <t>(Doutorado) - Optativa ( 4 créditos - 60 horas )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Profa. Dra. Naira Neila Norte
14 às 18h, sala 5
 </t>
    </r>
  </si>
  <si>
    <r>
      <rPr>
        <rFont val="Arial"/>
        <b/>
        <color theme="1"/>
        <sz val="9.0"/>
      </rPr>
      <t xml:space="preserve">Aula 1 - Meio ambiente, Regulação e Crise Climática
</t>
    </r>
    <r>
      <rPr>
        <rFont val="Arial"/>
        <b/>
        <color rgb="FF0000FF"/>
        <sz val="9.0"/>
      </rPr>
      <t>Doutorado - Obrigatória ( 2 créditos - 30 horas )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Prof. Dr. Valmir Pozzetti
14 às 18h10min
</t>
    </r>
  </si>
  <si>
    <r>
      <rPr>
        <rFont val="Arial"/>
        <b/>
        <color theme="1"/>
        <sz val="9.0"/>
      </rPr>
      <t xml:space="preserve">Aula 8 - Meio Ambiente, Territorialidade e Grilagem na Amazônia (linha de pesquisa I)
</t>
    </r>
    <r>
      <rPr>
        <rFont val="Arial"/>
        <b/>
        <color rgb="FF0000FF"/>
        <sz val="9.0"/>
      </rPr>
      <t xml:space="preserve">Doutorado - Optativa ( 4 créditos - 60 horas )
</t>
    </r>
    <r>
      <rPr>
        <rFont val="Arial"/>
        <color theme="1"/>
        <sz val="9.0"/>
      </rPr>
      <t xml:space="preserve">Prof. Dr. Bianor Saraiva, Prof. Dr. Neuton de Lima e Prof. Dr. Ricardo Albuquerque.
18 às 22h, sala 4
</t>
    </r>
    <r>
      <rPr>
        <rFont val="Arial"/>
        <b/>
        <color theme="1"/>
        <sz val="9.0"/>
      </rPr>
      <t xml:space="preserve">
Aula 8 - Trabalho digno, Cadeias Produtivas e Respostas Jurídicas (linha de pesquisa II)
</t>
    </r>
    <r>
      <rPr>
        <rFont val="Arial"/>
        <b/>
        <color rgb="FF0000FF"/>
        <sz val="9.0"/>
      </rPr>
      <t>Doutorado - Optativa ( 4 créditos - 60 horas )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Profa. Dra. Márcia Medina e Prof. Dr. Emerson de Sá
18 às 22h, sala 5
</t>
    </r>
  </si>
  <si>
    <r>
      <rPr>
        <rFont val="Arial"/>
        <b/>
        <color theme="1"/>
        <sz val="9.0"/>
      </rPr>
      <t xml:space="preserve">Aula 5 - Amazônia, povos e culturas tradicionais
</t>
    </r>
    <r>
      <rPr>
        <rFont val="Arial"/>
        <b/>
        <color rgb="FF0000FF"/>
        <sz val="9.0"/>
      </rPr>
      <t xml:space="preserve">(Doutorado) - Obrigatória  ( 2 créditos - 30 horas )
</t>
    </r>
    <r>
      <rPr>
        <rFont val="Arial"/>
        <color theme="1"/>
        <sz val="9.0"/>
      </rPr>
      <t xml:space="preserve">Profas. Dras. Luziane de Figueiredo Simão Leal e Silvia Maria da Silveira Loureiro
18 às 22h. sala 5
</t>
    </r>
  </si>
  <si>
    <t>Feriado – Dia do Trabalhador</t>
  </si>
  <si>
    <r>
      <rPr>
        <rFont val="Arial"/>
        <b/>
        <color theme="1"/>
        <sz val="9.0"/>
      </rPr>
      <t xml:space="preserve">Aula 2 - Meio ambiente, Regulação e Crise Climática
</t>
    </r>
    <r>
      <rPr>
        <rFont val="Arial"/>
        <b/>
        <color rgb="FF0000FF"/>
        <sz val="9.0"/>
      </rPr>
      <t>Doutorado - Obrigatória ( 2 créditos - 30 horas )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Prof. Dr. Valmir Pozzetti
14 às 18h10min
</t>
    </r>
  </si>
  <si>
    <r>
      <rPr>
        <rFont val="Arial"/>
        <b/>
        <color theme="1"/>
        <sz val="9.0"/>
      </rPr>
      <t xml:space="preserve">Aula 9 - Meio Ambiente, Territorialidade e Grilagem na Amazônia (linha de pesquisa I)
</t>
    </r>
    <r>
      <rPr>
        <rFont val="Arial"/>
        <b/>
        <color rgb="FF0000FF"/>
        <sz val="9.0"/>
      </rPr>
      <t>Doutorado - Optativa ( 4 créditos - 60 horas )</t>
    </r>
    <r>
      <rPr>
        <rFont val="Arial"/>
        <color theme="1"/>
        <sz val="9.0"/>
      </rPr>
      <t xml:space="preserve">
Prof. Dr. Bianor Saraiva, Prof. Dr. Neuton de Lima e Prof. Dr. Ricardo Albuquerque.
18 às 22h, sala 4
</t>
    </r>
    <r>
      <rPr>
        <rFont val="Arial"/>
        <b/>
        <color theme="1"/>
        <sz val="9.0"/>
      </rPr>
      <t xml:space="preserve">Aula 9 - Trabalho digno, Cadeias Produtivas e Respostas Jurídicas (linha de pesquisa II)
</t>
    </r>
    <r>
      <rPr>
        <rFont val="Arial"/>
        <b/>
        <color rgb="FF0000FF"/>
        <sz val="9.0"/>
      </rPr>
      <t xml:space="preserve">Doutorado - Optativa ( 4 créditos - 60 horas )
</t>
    </r>
    <r>
      <rPr>
        <rFont val="Arial"/>
        <color theme="1"/>
        <sz val="9.0"/>
      </rPr>
      <t xml:space="preserve">Profa. Dra. Márcia Medina e Prof. Dr. Emerson de Sá
18 às 22h, sala 5
</t>
    </r>
  </si>
  <si>
    <r>
      <rPr>
        <rFont val="Arial"/>
        <b/>
        <color theme="1"/>
        <sz val="9.0"/>
      </rPr>
      <t xml:space="preserve">Aula 7 - O Fator Regulação e sua Relação com as Políticas Públicas Ambientais
</t>
    </r>
    <r>
      <rPr>
        <rFont val="Arial"/>
        <b/>
        <color rgb="FF0000FF"/>
        <sz val="9.0"/>
      </rPr>
      <t>(Doutorado) - Optativa ( 4 créditos - 60 horas )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Profa. Dra. Naira Neila Norte
14 às 18h, sala 5
</t>
    </r>
    <r>
      <rPr>
        <rFont val="Arial"/>
        <b/>
        <color theme="1"/>
        <sz val="9.0"/>
      </rPr>
      <t xml:space="preserve"> </t>
    </r>
  </si>
  <si>
    <r>
      <rPr>
        <rFont val="Arial"/>
        <b/>
        <color theme="1"/>
        <sz val="9.0"/>
      </rPr>
      <t xml:space="preserve">Aula 3 - Meio ambiente, Regulação e Crise Climática
</t>
    </r>
    <r>
      <rPr>
        <rFont val="Arial"/>
        <b/>
        <color rgb="FF0000FF"/>
        <sz val="9.0"/>
      </rPr>
      <t>Doutorado - Obrigatória ( 2 créditos - 30 horas )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Prof. Dr. Valmir Pozzetti
14 às 18h10min
</t>
    </r>
  </si>
  <si>
    <r>
      <rPr>
        <rFont val="Arial"/>
        <b/>
        <color theme="1"/>
        <sz val="9.0"/>
      </rPr>
      <t xml:space="preserve">Aula 10 - Meio Ambiente, Territorialidade e Grilagem na Amazônia (linha de pesquisa I)
</t>
    </r>
    <r>
      <rPr>
        <rFont val="Arial"/>
        <b/>
        <color rgb="FF0000FF"/>
        <sz val="9.0"/>
      </rPr>
      <t>Doutorado - Optativa ( 4 créditos - 60 horas )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Prof. Dr. Bianor Saraiva, Prof. Dr. Neuton de Lima e Prof. Dr. Ricardo Albuquerque.
18 às 22h
</t>
    </r>
    <r>
      <rPr>
        <rFont val="Arial"/>
        <b/>
        <color theme="1"/>
        <sz val="9.0"/>
      </rPr>
      <t xml:space="preserve">Aula 10 - Trabalho digno, Cadeias Produtivas e Respostas Jurídicas (linha de pesquisa II)
</t>
    </r>
    <r>
      <rPr>
        <rFont val="Arial"/>
        <b/>
        <color rgb="FF0000FF"/>
        <sz val="9.0"/>
      </rPr>
      <t xml:space="preserve">Doutorado - Optativa ( 4 créditos - 60 horas )
</t>
    </r>
    <r>
      <rPr>
        <rFont val="Arial"/>
        <color theme="1"/>
        <sz val="9.0"/>
      </rPr>
      <t>Profa. Dra. Márcia Medina e Prof. Dr. Emerson de Sá
18 às 22h, sala 5</t>
    </r>
  </si>
  <si>
    <r>
      <rPr>
        <rFont val="Arial"/>
        <b/>
        <color theme="1"/>
        <sz val="9.0"/>
      </rPr>
      <t xml:space="preserve">Aula 6 - Amazônia, povos e culturas tradicionais
</t>
    </r>
    <r>
      <rPr>
        <rFont val="Arial"/>
        <b/>
        <color rgb="FF0000FF"/>
        <sz val="9.0"/>
      </rPr>
      <t xml:space="preserve">(Doutorado) - Obrigatória  - ( 2 créditos - 30 horas )
</t>
    </r>
    <r>
      <rPr>
        <rFont val="Arial"/>
        <color theme="1"/>
        <sz val="9.0"/>
      </rPr>
      <t>Profas. Dras. Luziane de Figueiredo Simão Leal e Silvia Maria da Silveira Loureiro
15 às 18h. sala 5</t>
    </r>
  </si>
  <si>
    <r>
      <rPr>
        <rFont val="Arial"/>
        <b/>
        <color theme="1"/>
        <sz val="9.0"/>
      </rPr>
      <t xml:space="preserve">Aula 8 - O Fator Regulação e sua Relação com as Políticas Públicas Ambientais
</t>
    </r>
    <r>
      <rPr>
        <rFont val="Arial"/>
        <b/>
        <color rgb="FF0000FF"/>
        <sz val="9.0"/>
      </rPr>
      <t xml:space="preserve">(Doutorado) - Optativa - ( 4 créditos - 60 horas )
</t>
    </r>
    <r>
      <rPr>
        <rFont val="Arial"/>
        <color theme="1"/>
        <sz val="9.0"/>
      </rPr>
      <t>Profa. Dra. Naira Neila Norte
14 às 18h. sala 5</t>
    </r>
  </si>
  <si>
    <r>
      <rPr>
        <rFont val="Arial"/>
        <b/>
        <color theme="1"/>
        <sz val="9.0"/>
      </rPr>
      <t xml:space="preserve">Aula 4 - Meio ambiente, Regulação e Crise Climática
</t>
    </r>
    <r>
      <rPr>
        <rFont val="Arial"/>
        <b/>
        <color rgb="FF0000FF"/>
        <sz val="9.0"/>
      </rPr>
      <t>Doutorado - Obrigatória ( 2 créditos - 30 horas )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Prof. Dr. Valmir Pozzetti
14 às 18h10min
</t>
    </r>
  </si>
  <si>
    <r>
      <rPr>
        <rFont val="Arial"/>
        <b/>
        <color theme="1"/>
        <sz val="9.0"/>
      </rPr>
      <t xml:space="preserve">Aula 11 - Meio Ambiente, Territorialidade e Grilagem na Amazônia (linha de pesquisa I)
</t>
    </r>
    <r>
      <rPr>
        <rFont val="Arial"/>
        <b/>
        <color rgb="FF0000FF"/>
        <sz val="9.0"/>
      </rPr>
      <t>Doutorado - Optativa ( 4 créditos - 60 horas )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Prof. Dr. Bianor Saraiva, Prof. Dr. Neuton de Lima e Prof. Dr. Ricardo Albuquerque.
18 às 22h, sala 4
</t>
    </r>
    <r>
      <rPr>
        <rFont val="Arial"/>
        <b/>
        <color theme="1"/>
        <sz val="9.0"/>
      </rPr>
      <t xml:space="preserve">
Aula 11 - Trabalho digno, Cadeias Produtivas e Respostas Jurídicas (linha de pesquisa II)
</t>
    </r>
    <r>
      <rPr>
        <rFont val="Arial"/>
        <b/>
        <color rgb="FF0000FF"/>
        <sz val="9.0"/>
      </rPr>
      <t>Doutorado - Optativa ( 4 créditos - 60 horas )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>Profa. Dra. Márcia Medina e Prof. Dr. Emerson de Sá
18 às 22h, sala 5</t>
    </r>
  </si>
  <si>
    <r>
      <rPr>
        <rFont val="Arial"/>
        <b/>
        <color theme="1"/>
        <sz val="9.0"/>
      </rPr>
      <t xml:space="preserve">Aula 7 - Amazônia, povos e culturas tradicionais
</t>
    </r>
    <r>
      <rPr>
        <rFont val="Arial"/>
        <b/>
        <color rgb="FF0000FF"/>
        <sz val="9.0"/>
      </rPr>
      <t xml:space="preserve">(Doutorado) - Obrigatória  - ( 2 créditos - 30 horas )
</t>
    </r>
    <r>
      <rPr>
        <rFont val="Arial"/>
        <color theme="1"/>
        <sz val="9.0"/>
      </rPr>
      <t>Profas. Dras. Luziane de Figueiredo Simão Leal e Silvia Maria da Silveira Loureiro
15 às 18h. sala 5</t>
    </r>
  </si>
  <si>
    <r>
      <rPr>
        <rFont val="Arial"/>
        <b/>
        <color theme="1"/>
        <sz val="9.0"/>
      </rPr>
      <t xml:space="preserve">Aula 9 - O Fator Regulação e sua Relação com as Políticas Públicas Ambientais
</t>
    </r>
    <r>
      <rPr>
        <rFont val="Arial"/>
        <b/>
        <color rgb="FF0000FF"/>
        <sz val="9.0"/>
      </rPr>
      <t xml:space="preserve">(Doutorado) - Optativa - ( 4 créditos - 60 horas )
</t>
    </r>
    <r>
      <rPr>
        <rFont val="Arial"/>
        <color theme="1"/>
        <sz val="9.0"/>
      </rPr>
      <t>Profa. Dra. Naira Neila Norte
14 às 18h. sala 5</t>
    </r>
  </si>
  <si>
    <r>
      <rPr>
        <rFont val="Arial"/>
        <b/>
        <color theme="1"/>
        <sz val="9.0"/>
      </rPr>
      <t xml:space="preserve">XV Encontro internacional do CONPEDI, Alicante, Espanha.
Aula 12 - Meio Ambiente, Territorialidade e Grilagem na Amazônia (linha de pesquisa I)
</t>
    </r>
    <r>
      <rPr>
        <rFont val="Arial"/>
        <b/>
        <color rgb="FF0000FF"/>
        <sz val="9.0"/>
      </rPr>
      <t xml:space="preserve">Doutorado - ( 4 créditos - 60 horas )
</t>
    </r>
    <r>
      <rPr>
        <rFont val="Arial"/>
        <b val="0"/>
        <color theme="1"/>
        <sz val="9.0"/>
      </rPr>
      <t>Prof. Dr. Bianor Saraiva, Prof. Dr. Neuton de Lima e Prof. Dr. Ricardo Albuquerque.
18 às 22h, sala 4</t>
    </r>
    <r>
      <rPr>
        <rFont val="Arial"/>
        <b/>
        <color theme="1"/>
        <sz val="9.0"/>
      </rPr>
      <t xml:space="preserve">
Aula 12 - Trabalho digno, Cadeias Produtivas e Respostas Jurídicas (linha de pesquisa II)
</t>
    </r>
    <r>
      <rPr>
        <rFont val="Arial"/>
        <b/>
        <color rgb="FF0000FF"/>
        <sz val="9.0"/>
      </rPr>
      <t xml:space="preserve">Doutorado -( 4 créditos - 60 horas )
</t>
    </r>
    <r>
      <rPr>
        <rFont val="Arial"/>
        <b val="0"/>
        <color theme="1"/>
        <sz val="9.0"/>
      </rPr>
      <t xml:space="preserve">Profa. Dra. Márcia Medina e Prof. Dr. Emerson de Sá
18 às 22h, sala 5
</t>
    </r>
  </si>
  <si>
    <r>
      <rPr>
        <rFont val="Arial"/>
        <b/>
        <color theme="1"/>
        <sz val="9.0"/>
      </rPr>
      <t xml:space="preserve">XV Encontro internacional do CONPEDI, Alicante, Espanha.
Aula 8 - Amazônia, povos e culturas tradicionais
</t>
    </r>
    <r>
      <rPr>
        <rFont val="Arial"/>
        <b/>
        <color rgb="FF0000FF"/>
        <sz val="9.0"/>
      </rPr>
      <t>(Doutorado) - Obrigatória - ( 2 créditos - 30 horas)</t>
    </r>
    <r>
      <rPr>
        <rFont val="Arial"/>
        <b/>
        <color theme="1"/>
        <sz val="9.0"/>
      </rPr>
      <t xml:space="preserve">
</t>
    </r>
    <r>
      <rPr>
        <rFont val="Arial"/>
        <b val="0"/>
        <color theme="1"/>
        <sz val="9.0"/>
      </rPr>
      <t>Profas. Dras. Luziane de Figueiredo Simão Leal e Silvia Maria da Silveira Loureiro
15 às 18h.</t>
    </r>
  </si>
  <si>
    <r>
      <rPr>
        <rFont val="Arial"/>
        <b/>
        <color theme="1"/>
        <sz val="9.0"/>
      </rPr>
      <t xml:space="preserve">Aula 10 - O Fator Regulação e sua Relação com as Políticas Públicas Ambientais
</t>
    </r>
    <r>
      <rPr>
        <rFont val="Arial"/>
        <b/>
        <color rgb="FF0000FF"/>
        <sz val="9.0"/>
      </rPr>
      <t xml:space="preserve">(Doutorado) - Optativa - ( 4 créditos - 60 horas )
</t>
    </r>
    <r>
      <rPr>
        <rFont val="Arial"/>
        <color theme="1"/>
        <sz val="9.0"/>
      </rPr>
      <t>Profa. Dra. Naira Neila Norte
14 às 18h. sala 5</t>
    </r>
  </si>
  <si>
    <r>
      <rPr>
        <rFont val="Arial"/>
        <b/>
        <color theme="1"/>
        <sz val="9.0"/>
      </rPr>
      <t xml:space="preserve">Aula 5 - Meio ambiente, Regulação e Crise Climática
</t>
    </r>
    <r>
      <rPr>
        <rFont val="Arial"/>
        <b/>
        <color rgb="FF0000FF"/>
        <sz val="9.0"/>
      </rPr>
      <t>Doutorado - Obrigatória ( 2 créditos - 30 horas )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Prof. Dr. Valmir Pozzetti
14 às 18h10min
</t>
    </r>
  </si>
  <si>
    <r>
      <rPr>
        <rFont val="Arial"/>
        <b/>
        <color theme="1"/>
        <sz val="9.0"/>
      </rPr>
      <t xml:space="preserve">Aula 13 - Meio Ambiente, Territorialidade e Grilagem na Amazônia (linha de pesquisa I)
</t>
    </r>
    <r>
      <rPr>
        <rFont val="Arial"/>
        <b/>
        <color rgb="FF0000FF"/>
        <sz val="9.0"/>
      </rPr>
      <t>Doutorado - Optativa ( 4 créditos - 60 horas )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Prof. Dr. Bianor Saraiva, Prof. Dr. Neuton de Lima e Prof. Dr. Ricardo Albuquerque.
18 às 22h, sala 4
</t>
    </r>
    <r>
      <rPr>
        <rFont val="Arial"/>
        <b/>
        <color theme="1"/>
        <sz val="9.0"/>
      </rPr>
      <t xml:space="preserve">Aula 13 - Trabalho digno, Cadeias Produtivas e Respostas Jurídicas (linha de pesquisa II)
</t>
    </r>
    <r>
      <rPr>
        <rFont val="Arial"/>
        <b/>
        <color rgb="FF0000FF"/>
        <sz val="9.0"/>
      </rPr>
      <t>Doutorado - Optativa ( 4 créditos - 60 horas )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Profa. Dra. Márcia Medina e Prof. Dr. Emerson de Sá
18 às 22h, sala 5
</t>
    </r>
  </si>
  <si>
    <t>Feriado – Corpus Christi</t>
  </si>
  <si>
    <r>
      <rPr>
        <rFont val="Arial"/>
        <b/>
        <color theme="1"/>
        <sz val="9.0"/>
      </rPr>
      <t xml:space="preserve">Aula 11 - O Fator Regulação e sua Relação com as Políticas Públicas Ambientais
</t>
    </r>
    <r>
      <rPr>
        <rFont val="Arial"/>
        <b/>
        <color rgb="FF0000FF"/>
        <sz val="9.0"/>
      </rPr>
      <t xml:space="preserve">(Doutorado) - Optativa - ( 4 créditos - 60 horas )
</t>
    </r>
    <r>
      <rPr>
        <rFont val="Arial"/>
        <color theme="1"/>
        <sz val="9.0"/>
      </rPr>
      <t>Profa. Dra. Naira Neila Norte
14 às 18h. sala 5</t>
    </r>
  </si>
  <si>
    <r>
      <rPr>
        <rFont val="Arial"/>
        <b/>
        <color theme="1"/>
        <sz val="9.0"/>
      </rPr>
      <t xml:space="preserve">Aula 6 - Meio ambiente, Regulação e Crise Climática
</t>
    </r>
    <r>
      <rPr>
        <rFont val="Arial"/>
        <b/>
        <color rgb="FF0000FF"/>
        <sz val="9.0"/>
      </rPr>
      <t>Doutorado - Obrigatória ( 2 créditos - 30 horas )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Prof. Dr. Valmir Pozzetti
14 às 18h10min
</t>
    </r>
  </si>
  <si>
    <r>
      <rPr>
        <rFont val="Arial"/>
        <b/>
        <color theme="1"/>
        <sz val="9.0"/>
      </rPr>
      <t xml:space="preserve">Aula 14 - Meio Ambiente, Territorialidade e Grilagem na Amazônia (linha de pesquisa I)
</t>
    </r>
    <r>
      <rPr>
        <rFont val="Arial"/>
        <b/>
        <color rgb="FF0000FF"/>
        <sz val="9.0"/>
      </rPr>
      <t xml:space="preserve">Doutorado - Optativa ( 4 créditos - 60 horas )
</t>
    </r>
    <r>
      <rPr>
        <rFont val="Arial"/>
        <color theme="1"/>
        <sz val="9.0"/>
      </rPr>
      <t xml:space="preserve">Prof. Dr. Bianor Saraiva, Prof. Dr. Neuton de Lima e Prof. Dr. Ricardo Albuquerque.
18 às 22h, sala 4
</t>
    </r>
    <r>
      <rPr>
        <rFont val="Arial"/>
        <b/>
        <color theme="1"/>
        <sz val="9.0"/>
      </rPr>
      <t xml:space="preserve">Aula 14 - Trabalho digno, Cadeias Produtivas e Respostas Jurídicas (linha de pesquisa II)
</t>
    </r>
    <r>
      <rPr>
        <rFont val="Arial"/>
        <b/>
        <color rgb="FF0000FF"/>
        <sz val="9.0"/>
      </rPr>
      <t>Doutorado - Optativa ( 4 créditos - 60 horas )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Profa. Dra. Márcia Medina e Prof. Dr. Emerson de Sá
18 às 22h, sala 5, sala 4
</t>
    </r>
  </si>
  <si>
    <r>
      <rPr>
        <rFont val="Arial"/>
        <b/>
        <color theme="1"/>
        <sz val="9.0"/>
      </rPr>
      <t xml:space="preserve">Aula 9 - Amazônia, povos e culturas tradicionais
</t>
    </r>
    <r>
      <rPr>
        <rFont val="Arial"/>
        <b/>
        <color rgb="FF0000FF"/>
        <sz val="9.0"/>
      </rPr>
      <t>(Doutorado) - Obrigatória  - ( 2 créditos - 30 horas )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>Profas. Dras. Luziane de Figueiredo Simão Leal e Silvia Maria da Silveira Loureiro
15 às 18h. sala 5</t>
    </r>
  </si>
  <si>
    <r>
      <rPr>
        <rFont val="Arial"/>
        <b/>
        <color theme="1"/>
        <sz val="9.0"/>
      </rPr>
      <t xml:space="preserve">Aula 12 - O Fator Regulação e sua Relação com as Políticas Públicas Ambientais
</t>
    </r>
    <r>
      <rPr>
        <rFont val="Arial"/>
        <b/>
        <color rgb="FF0000FF"/>
        <sz val="9.0"/>
      </rPr>
      <t xml:space="preserve">(Doutorado) - Optativa - ( 4 créditos - 60 horas )
</t>
    </r>
    <r>
      <rPr>
        <rFont val="Arial"/>
        <color theme="1"/>
        <sz val="9.0"/>
      </rPr>
      <t>Profa. Dra. Naira Neila Norte
14 às 18h. sala 5</t>
    </r>
  </si>
  <si>
    <r>
      <rPr>
        <rFont val="Arial"/>
        <b/>
        <color theme="1"/>
        <sz val="9.0"/>
      </rPr>
      <t xml:space="preserve">Aula 15 - Meio Ambiente, Territorialidade e Grilagem na Amazônia (linha de pesquisa I)
</t>
    </r>
    <r>
      <rPr>
        <rFont val="Arial"/>
        <b/>
        <color rgb="FF0000FF"/>
        <sz val="9.0"/>
      </rPr>
      <t xml:space="preserve">Doutorado - Optativa ( 4 créditos - 60 horas )
</t>
    </r>
    <r>
      <rPr>
        <rFont val="Arial"/>
        <color theme="1"/>
        <sz val="9.0"/>
      </rPr>
      <t xml:space="preserve">Prof. Dr. Bianor Saraiva, Prof. Dr. Neuton de Lima e Prof. Dr. Ricardo Albuquerque.
18 às 22h, sala 4
</t>
    </r>
    <r>
      <rPr>
        <rFont val="Arial"/>
        <b/>
        <color theme="1"/>
        <sz val="9.0"/>
      </rPr>
      <t xml:space="preserve">Aula 15 - Trabalho digno, Cadeias Produtivas e Respostas Jurídicas (linha de pesquisa II)
</t>
    </r>
    <r>
      <rPr>
        <rFont val="Arial"/>
        <b/>
        <color rgb="FF0000FF"/>
        <sz val="9.0"/>
      </rPr>
      <t>Doutorado - Optativa ( 4 créditos - 60 horas )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>Profa. Dra. Márcia Medina e Prof. Dr. Emerson de Sá
18 às 22h, sala 5</t>
    </r>
  </si>
  <si>
    <r>
      <rPr>
        <rFont val="Arial"/>
        <b/>
        <color theme="1"/>
        <sz val="9.0"/>
      </rPr>
      <t xml:space="preserve">Aula 10 - Amazônia, povos e culturas tradicionais
</t>
    </r>
    <r>
      <rPr>
        <rFont val="Arial"/>
        <b/>
        <color rgb="FF0000FF"/>
        <sz val="9.0"/>
      </rPr>
      <t>(Doutorado) - Obrigatória  - ( 2 créditos - 30 horas )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>Profas. Dras. Luziane de Figueiredo Simão Leal e Silvia Maria da Silveira Loureiro
15 às 18h. sala 5</t>
    </r>
  </si>
  <si>
    <r>
      <rPr>
        <rFont val="Arial"/>
        <b/>
        <color theme="1"/>
        <sz val="9.0"/>
      </rPr>
      <t xml:space="preserve">Aula 13 - O Fator Regulação e sua Relação com as Políticas Públicas Ambientais
</t>
    </r>
    <r>
      <rPr>
        <rFont val="Arial"/>
        <b/>
        <color rgb="FF0000FF"/>
        <sz val="9.0"/>
      </rPr>
      <t xml:space="preserve">(Doutorado) - Optativa - ( 4 créditos - 60 horas )
</t>
    </r>
    <r>
      <rPr>
        <rFont val="Arial"/>
        <color theme="1"/>
        <sz val="9.0"/>
      </rPr>
      <t>Profa. Dra. Naira Neila Norte
14 às 18h. sala 5</t>
    </r>
  </si>
  <si>
    <r>
      <rPr>
        <rFont val="Arial"/>
        <b/>
        <color theme="1"/>
        <sz val="9.0"/>
      </rPr>
      <t xml:space="preserve">Aula 14 - O Fator Regulação e sua Relação com as Políticas Públicas Ambientais
</t>
    </r>
    <r>
      <rPr>
        <rFont val="Arial"/>
        <b/>
        <color rgb="FF0000FF"/>
        <sz val="9.0"/>
      </rPr>
      <t xml:space="preserve">(Doutorado) - Optativa - ( 4 créditos - 60 horas )
</t>
    </r>
    <r>
      <rPr>
        <rFont val="Arial"/>
        <color theme="1"/>
        <sz val="9.0"/>
      </rPr>
      <t>Profa. Dra. Naira Neila Norte
14 às 18h. sala 5</t>
    </r>
  </si>
  <si>
    <r>
      <rPr>
        <rFont val="Arial"/>
        <b/>
        <color theme="1"/>
        <sz val="9.0"/>
      </rPr>
      <t xml:space="preserve">Aula 15 - O Fator Regulação e sua Relação com as Políticas Públicas Ambientais
</t>
    </r>
    <r>
      <rPr>
        <rFont val="Arial"/>
        <b/>
        <color rgb="FF0000FF"/>
        <sz val="9.0"/>
      </rPr>
      <t xml:space="preserve">(Doutorado) - Optativa - ( 4 créditos - 60 horas )
</t>
    </r>
    <r>
      <rPr>
        <rFont val="Arial"/>
        <color theme="1"/>
        <sz val="9.0"/>
      </rPr>
      <t>Profa. Dra. Naira Neila Norte
14 às 18h. sala 5</t>
    </r>
  </si>
  <si>
    <t>Feriado – Elevação Amazonas à Provincia</t>
  </si>
  <si>
    <t>Feriado – Independência do Brasil</t>
  </si>
  <si>
    <t>Feriado – Padroeira Brasil – N. Sra. Aparecida</t>
  </si>
  <si>
    <t>Dia do Professor – Resolução 064/2024 CONSUNIV / UEA</t>
  </si>
  <si>
    <t>Feriado - Dia do Servidor Público.</t>
  </si>
  <si>
    <t>Feriado Nacional – Finados.</t>
  </si>
  <si>
    <t>Feriado Nacional – Proclamação da República.</t>
  </si>
  <si>
    <t>Feriado Nacional – Dia da Consciência Negra</t>
  </si>
  <si>
    <t>Feriado Estadual – Nossa Senhora da Conceição</t>
  </si>
  <si>
    <t>Ponto Facultativo – véspera de Natal</t>
  </si>
  <si>
    <t>Feriado– Natal</t>
  </si>
  <si>
    <t>Ponto Facultativo – véspera de Ano Novo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</si>
</sst>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"/>
    <numFmt numFmtId="165" formatCode="[$-F800]dddd\,\ mmmm\ dd\,\ yyyy"/>
  </numFmts>
  <fonts count="24">
    <font>
      <sz val="11.0"/>
      <color rgb="FF000000"/>
      <name val="Trebuchet MS"/>
      <scheme val="minor"/>
    </font>
    <font>
      <sz val="11.0"/>
      <color theme="1"/>
      <name val="Trebuchet MS"/>
    </font>
    <font>
      <sz val="11.0"/>
      <color theme="0"/>
      <name val="Trebuchet MS"/>
    </font>
    <font/>
    <font>
      <b/>
      <sz val="28.0"/>
      <color theme="0"/>
      <name val="Arial"/>
    </font>
    <font>
      <sz val="36.0"/>
      <color rgb="FF25766F"/>
      <name val="Trebuchet MS"/>
    </font>
    <font>
      <sz val="10.0"/>
      <color theme="1"/>
      <name val="Century Gothic"/>
    </font>
    <font>
      <b/>
      <sz val="11.0"/>
      <color theme="0"/>
      <name val="Arial"/>
    </font>
    <font>
      <sz val="16.0"/>
      <color theme="1"/>
      <name val="Trebuchet MS"/>
    </font>
    <font>
      <sz val="11.0"/>
      <color theme="1"/>
      <name val="Arial"/>
    </font>
    <font>
      <b/>
      <sz val="11.0"/>
      <color theme="1"/>
      <name val="Arial"/>
    </font>
    <font>
      <sz val="16.0"/>
      <color rgb="FFEFEFEF"/>
      <name val="Trebuchet MS"/>
    </font>
    <font>
      <sz val="11.0"/>
      <color rgb="FFEFEFEF"/>
      <name val="Arial"/>
    </font>
    <font>
      <sz val="9.0"/>
      <color theme="1"/>
      <name val="Trebuchet MS"/>
    </font>
    <font>
      <sz val="9.0"/>
      <color theme="1"/>
      <name val="Arial"/>
    </font>
    <font>
      <sz val="16.0"/>
      <color rgb="FFF3F3F3"/>
      <name val="Trebuchet MS"/>
    </font>
    <font>
      <b/>
      <sz val="12.0"/>
      <color rgb="FFFF0000"/>
      <name val="Arial"/>
    </font>
    <font>
      <b/>
      <sz val="9.0"/>
      <color rgb="FFFF0000"/>
      <name val="Arial"/>
    </font>
    <font>
      <b/>
      <sz val="9.0"/>
      <color rgb="FFEFEFEF"/>
      <name val="Arial"/>
    </font>
    <font>
      <sz val="9.0"/>
      <color rgb="FFEFEFEF"/>
      <name val="Arial"/>
    </font>
    <font>
      <sz val="16.0"/>
      <color rgb="FF999999"/>
      <name val="Trebuchet MS"/>
    </font>
    <font>
      <b/>
      <sz val="9.0"/>
      <color theme="1"/>
      <name val="Arial"/>
    </font>
    <font>
      <sz val="16.0"/>
      <color rgb="FFB7B7B7"/>
      <name val="Trebuchet MS"/>
    </font>
    <font>
      <b/>
      <sz val="11.0"/>
      <color rgb="FFFF0000"/>
      <name val="Arial"/>
    </font>
  </fonts>
  <fills count="10">
    <fill>
      <patternFill patternType="none"/>
    </fill>
    <fill>
      <patternFill patternType="lightGray"/>
    </fill>
    <fill>
      <patternFill patternType="solid">
        <fgColor rgb="FF3C5821"/>
        <bgColor rgb="FF3C5821"/>
      </patternFill>
    </fill>
    <fill>
      <patternFill patternType="solid">
        <fgColor rgb="FFFFFFFF"/>
        <bgColor rgb="FFFFFFFF"/>
      </patternFill>
    </fill>
    <fill>
      <patternFill patternType="solid">
        <fgColor rgb="FF5A8431"/>
        <bgColor rgb="FF5A8431"/>
      </patternFill>
    </fill>
    <fill>
      <patternFill patternType="solid">
        <fgColor rgb="FF93C47D"/>
        <bgColor rgb="FF93C47D"/>
      </patternFill>
    </fill>
    <fill>
      <patternFill patternType="solid">
        <fgColor rgb="FFF3F3F3"/>
        <bgColor rgb="FFF3F3F3"/>
      </patternFill>
    </fill>
    <fill>
      <patternFill patternType="solid">
        <fgColor rgb="FF25766F"/>
        <bgColor rgb="FF25766F"/>
      </patternFill>
    </fill>
    <fill>
      <patternFill patternType="solid">
        <fgColor rgb="FFEFEFEF"/>
        <bgColor rgb="FFEFEFEF"/>
      </patternFill>
    </fill>
    <fill>
      <patternFill patternType="solid">
        <fgColor rgb="FF999999"/>
        <bgColor rgb="FF999999"/>
      </patternFill>
    </fill>
  </fills>
  <borders count="12">
    <border/>
    <border>
      <left/>
      <right/>
      <top/>
      <bottom/>
    </border>
    <border>
      <left/>
      <top/>
      <bottom/>
    </border>
    <border>
      <top/>
      <bottom/>
    </border>
    <border>
      <left/>
      <right style="thick">
        <color theme="0"/>
      </right>
      <top/>
      <bottom/>
    </border>
    <border>
      <right style="thin">
        <color rgb="FFD8D8D8"/>
      </right>
      <top style="thin">
        <color rgb="FFD8D8D8"/>
      </top>
    </border>
    <border>
      <left style="thin">
        <color rgb="FFD8D8D8"/>
      </left>
      <top style="thin">
        <color rgb="FFD8D8D8"/>
      </top>
    </border>
    <border>
      <right style="thin">
        <color rgb="FFD8D8D8"/>
      </right>
    </border>
    <border>
      <left style="thin">
        <color rgb="FFD8D8D8"/>
      </left>
    </border>
    <border>
      <left style="thin">
        <color rgb="FFD8D8D8"/>
      </left>
      <bottom style="thin">
        <color rgb="FFD8D8D8"/>
      </bottom>
    </border>
    <border>
      <top style="thin">
        <color rgb="FFD8D8D8"/>
      </top>
    </border>
    <border>
      <right style="thick">
        <color theme="0"/>
      </right>
    </border>
  </borders>
  <cellStyleXfs count="1">
    <xf borderId="0" fillId="0" fontId="0" numFmtId="0" applyAlignment="1" applyFont="1"/>
  </cellStyleXfs>
  <cellXfs count="46">
    <xf borderId="0" fillId="0" fontId="0" numFmtId="0" xfId="0" applyAlignment="1" applyFont="1">
      <alignment readingOrder="0" shrinkToFit="0" vertical="bottom" wrapText="0"/>
    </xf>
    <xf borderId="1" fillId="2" fontId="1" numFmtId="0" xfId="0" applyBorder="1" applyFill="1" applyFont="1"/>
    <xf borderId="2" fillId="2" fontId="2" numFmtId="0" xfId="0" applyAlignment="1" applyBorder="1" applyFont="1">
      <alignment horizontal="center" readingOrder="0" shrinkToFit="0" wrapText="1"/>
    </xf>
    <xf borderId="3" fillId="0" fontId="3" numFmtId="0" xfId="0" applyBorder="1" applyFont="1"/>
    <xf borderId="1" fillId="3" fontId="1" numFmtId="0" xfId="0" applyBorder="1" applyFill="1" applyFont="1"/>
    <xf borderId="1" fillId="4" fontId="4" numFmtId="0" xfId="0" applyAlignment="1" applyBorder="1" applyFill="1" applyFont="1">
      <alignment horizontal="center"/>
    </xf>
    <xf borderId="0" fillId="0" fontId="5" numFmtId="0" xfId="0" applyAlignment="1" applyFont="1">
      <alignment horizontal="left"/>
    </xf>
    <xf borderId="0" fillId="0" fontId="6" numFmtId="0" xfId="0" applyFont="1"/>
    <xf borderId="4" fillId="2" fontId="7" numFmtId="0" xfId="0" applyAlignment="1" applyBorder="1" applyFont="1">
      <alignment horizontal="left" vertical="center"/>
    </xf>
    <xf borderId="5" fillId="0" fontId="8" numFmtId="164" xfId="0" applyAlignment="1" applyBorder="1" applyFont="1" applyNumberFormat="1">
      <alignment horizontal="left" shrinkToFit="0" vertical="center" wrapText="1"/>
    </xf>
    <xf borderId="6" fillId="0" fontId="8" numFmtId="164" xfId="0" applyAlignment="1" applyBorder="1" applyFont="1" applyNumberFormat="1">
      <alignment horizontal="left" shrinkToFit="0" vertical="center" wrapText="1"/>
    </xf>
    <xf borderId="7" fillId="0" fontId="9" numFmtId="0" xfId="0" applyAlignment="1" applyBorder="1" applyFont="1">
      <alignment horizontal="left" shrinkToFit="0" vertical="top" wrapText="1"/>
    </xf>
    <xf borderId="8" fillId="0" fontId="9" numFmtId="0" xfId="0" applyAlignment="1" applyBorder="1" applyFont="1">
      <alignment horizontal="left" shrinkToFit="0" vertical="top" wrapText="1"/>
    </xf>
    <xf borderId="9" fillId="0" fontId="9" numFmtId="0" xfId="0" applyAlignment="1" applyBorder="1" applyFont="1">
      <alignment horizontal="left" shrinkToFit="0" vertical="top" wrapText="1"/>
    </xf>
    <xf borderId="7" fillId="5" fontId="10" numFmtId="0" xfId="0" applyAlignment="1" applyBorder="1" applyFill="1" applyFont="1">
      <alignment horizontal="center" shrinkToFit="0" vertical="center" wrapText="1"/>
    </xf>
    <xf borderId="5" fillId="6" fontId="11" numFmtId="164" xfId="0" applyAlignment="1" applyBorder="1" applyFill="1" applyFont="1" applyNumberFormat="1">
      <alignment horizontal="left" shrinkToFit="0" vertical="center" wrapText="1"/>
    </xf>
    <xf borderId="6" fillId="0" fontId="1" numFmtId="0" xfId="0" applyAlignment="1" applyBorder="1" applyFont="1">
      <alignment horizontal="left" shrinkToFit="0" vertical="center" wrapText="1"/>
    </xf>
    <xf borderId="10" fillId="0" fontId="3" numFmtId="0" xfId="0" applyBorder="1" applyFont="1"/>
    <xf borderId="7" fillId="6" fontId="12" numFmtId="0" xfId="0" applyAlignment="1" applyBorder="1" applyFont="1">
      <alignment horizontal="left" shrinkToFit="0" vertical="top" wrapText="1"/>
    </xf>
    <xf borderId="0" fillId="0" fontId="1" numFmtId="0" xfId="0" applyAlignment="1" applyFont="1">
      <alignment horizontal="left" shrinkToFit="0" vertical="top" wrapText="1"/>
    </xf>
    <xf borderId="4" fillId="7" fontId="7" numFmtId="0" xfId="0" applyAlignment="1" applyBorder="1" applyFill="1" applyFont="1">
      <alignment horizontal="left" vertical="center"/>
    </xf>
    <xf borderId="5" fillId="8" fontId="11" numFmtId="164" xfId="0" applyAlignment="1" applyBorder="1" applyFill="1" applyFont="1" applyNumberFormat="1">
      <alignment horizontal="left" shrinkToFit="0" vertical="center" wrapText="1"/>
    </xf>
    <xf borderId="6" fillId="8" fontId="11" numFmtId="164" xfId="0" applyAlignment="1" applyBorder="1" applyFont="1" applyNumberFormat="1">
      <alignment horizontal="left" shrinkToFit="0" vertical="center" wrapText="1"/>
    </xf>
    <xf borderId="7" fillId="8" fontId="12" numFmtId="0" xfId="0" applyAlignment="1" applyBorder="1" applyFont="1">
      <alignment horizontal="left" shrinkToFit="0" vertical="top" wrapText="1"/>
    </xf>
    <xf borderId="9" fillId="8" fontId="12" numFmtId="0" xfId="0" applyAlignment="1" applyBorder="1" applyFont="1">
      <alignment horizontal="left" shrinkToFit="0" vertical="top" wrapText="1"/>
    </xf>
    <xf borderId="6" fillId="0" fontId="1" numFmtId="165" xfId="0" applyAlignment="1" applyBorder="1" applyFont="1" applyNumberFormat="1">
      <alignment horizontal="left" shrinkToFit="0" vertical="center" wrapText="1"/>
    </xf>
    <xf borderId="0" fillId="0" fontId="13" numFmtId="0" xfId="0" applyFont="1"/>
    <xf borderId="7" fillId="0" fontId="14" numFmtId="0" xfId="0" applyAlignment="1" applyBorder="1" applyFont="1">
      <alignment horizontal="left" shrinkToFit="0" vertical="top" wrapText="1"/>
    </xf>
    <xf borderId="7" fillId="0" fontId="14" numFmtId="0" xfId="0" applyAlignment="1" applyBorder="1" applyFont="1">
      <alignment horizontal="left" readingOrder="0" shrinkToFit="0" vertical="top" wrapText="1"/>
    </xf>
    <xf borderId="8" fillId="0" fontId="14" numFmtId="0" xfId="0" applyAlignment="1" applyBorder="1" applyFont="1">
      <alignment horizontal="left" shrinkToFit="0" vertical="top" wrapText="1"/>
    </xf>
    <xf borderId="5" fillId="6" fontId="15" numFmtId="164" xfId="0" applyAlignment="1" applyBorder="1" applyFont="1" applyNumberFormat="1">
      <alignment horizontal="left" shrinkToFit="0" vertical="center" wrapText="1"/>
    </xf>
    <xf borderId="6" fillId="6" fontId="15" numFmtId="164" xfId="0" applyAlignment="1" applyBorder="1" applyFont="1" applyNumberFormat="1">
      <alignment horizontal="left" shrinkToFit="0" vertical="center" wrapText="1"/>
    </xf>
    <xf borderId="7" fillId="8" fontId="14" numFmtId="0" xfId="0" applyAlignment="1" applyBorder="1" applyFont="1">
      <alignment horizontal="left" shrinkToFit="0" vertical="top" wrapText="1"/>
    </xf>
    <xf borderId="9" fillId="8" fontId="14" numFmtId="0" xfId="0" applyAlignment="1" applyBorder="1" applyFont="1">
      <alignment horizontal="left" shrinkToFit="0" vertical="top" wrapText="1"/>
    </xf>
    <xf borderId="11" fillId="0" fontId="7" numFmtId="0" xfId="0" applyAlignment="1" applyBorder="1" applyFont="1">
      <alignment horizontal="left" vertical="center"/>
    </xf>
    <xf borderId="7" fillId="6" fontId="16" numFmtId="0" xfId="0" applyAlignment="1" applyBorder="1" applyFont="1">
      <alignment horizontal="center" shrinkToFit="0" vertical="center" wrapText="1"/>
    </xf>
    <xf borderId="7" fillId="6" fontId="17" numFmtId="0" xfId="0" applyAlignment="1" applyBorder="1" applyFont="1">
      <alignment horizontal="center" shrinkToFit="0" vertical="center" wrapText="1"/>
    </xf>
    <xf borderId="7" fillId="8" fontId="18" numFmtId="0" xfId="0" applyAlignment="1" applyBorder="1" applyFont="1">
      <alignment horizontal="center" shrinkToFit="0" vertical="center" wrapText="1"/>
    </xf>
    <xf borderId="9" fillId="8" fontId="19" numFmtId="0" xfId="0" applyAlignment="1" applyBorder="1" applyFont="1">
      <alignment horizontal="left" shrinkToFit="0" vertical="top" wrapText="1"/>
    </xf>
    <xf borderId="5" fillId="9" fontId="20" numFmtId="164" xfId="0" applyAlignment="1" applyBorder="1" applyFill="1" applyFont="1" applyNumberFormat="1">
      <alignment horizontal="left" shrinkToFit="0" vertical="center" wrapText="1"/>
    </xf>
    <xf borderId="7" fillId="0" fontId="21" numFmtId="0" xfId="0" applyAlignment="1" applyBorder="1" applyFont="1">
      <alignment horizontal="left" readingOrder="0" shrinkToFit="0" vertical="top" wrapText="1"/>
    </xf>
    <xf borderId="9" fillId="0" fontId="14" numFmtId="0" xfId="0" applyAlignment="1" applyBorder="1" applyFont="1">
      <alignment horizontal="left" shrinkToFit="0" vertical="top" wrapText="1"/>
    </xf>
    <xf borderId="5" fillId="0" fontId="22" numFmtId="164" xfId="0" applyAlignment="1" applyBorder="1" applyFont="1" applyNumberFormat="1">
      <alignment horizontal="left" shrinkToFit="0" vertical="center" wrapText="1"/>
    </xf>
    <xf borderId="8" fillId="8" fontId="23" numFmtId="0" xfId="0" applyAlignment="1" applyBorder="1" applyFont="1">
      <alignment horizontal="center" shrinkToFit="0" vertical="center" wrapText="1"/>
    </xf>
    <xf borderId="7" fillId="6" fontId="23" numFmtId="0" xfId="0" applyAlignment="1" applyBorder="1" applyFont="1">
      <alignment horizontal="center" shrinkToFit="0" vertical="center" wrapText="1"/>
    </xf>
    <xf borderId="7" fillId="8" fontId="23" numFmtId="0" xfId="0" applyAlignment="1" applyBorder="1" applyFont="1">
      <alignment horizontal="center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295275</xdr:colOff>
      <xdr:row>0</xdr:row>
      <xdr:rowOff>180975</xdr:rowOff>
    </xdr:from>
    <xdr:ext cx="1552575" cy="68580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571500</xdr:colOff>
      <xdr:row>0</xdr:row>
      <xdr:rowOff>133350</xdr:rowOff>
    </xdr:from>
    <xdr:ext cx="1952625" cy="704850"/>
    <xdr:pic>
      <xdr:nvPicPr>
        <xdr:cNvPr id="0" name="image2.png" title="Imagem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2388CF"/>
      </a:folHlink>
    </a:clrScheme>
    <a:fontScheme name="Sheets">
      <a:majorFont>
        <a:latin typeface="Trebuchet MS"/>
        <a:ea typeface="Trebuchet MS"/>
        <a:cs typeface="Trebuchet MS"/>
      </a:majorFont>
      <a:minorFont>
        <a:latin typeface="Trebuchet MS"/>
        <a:ea typeface="Trebuchet MS"/>
        <a:cs typeface="Trebuchet MS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25766F"/>
    <pageSetUpPr fitToPage="1"/>
  </sheetPr>
  <sheetViews>
    <sheetView showGridLines="0" workbookViewId="0"/>
  </sheetViews>
  <sheetFormatPr customHeight="1" defaultColWidth="12.63" defaultRowHeight="15.0"/>
  <cols>
    <col customWidth="1" min="1" max="1" width="2.0"/>
    <col customWidth="1" min="2" max="2" width="18.25"/>
    <col customWidth="1" min="3" max="3" width="36.5"/>
    <col customWidth="1" min="4" max="4" width="39.88"/>
    <col customWidth="1" min="5" max="5" width="43.63"/>
    <col customWidth="1" min="6" max="6" width="40.63"/>
    <col customWidth="1" min="7" max="7" width="44.5"/>
    <col customWidth="1" min="8" max="8" width="17.63"/>
    <col customWidth="1" min="9" max="9" width="2.5"/>
    <col customWidth="1" min="10" max="26" width="8.75"/>
  </cols>
  <sheetData>
    <row r="1" ht="80.25" customHeight="1">
      <c r="B1" s="1"/>
      <c r="C1" s="1"/>
      <c r="D1" s="2" t="s">
        <v>0</v>
      </c>
      <c r="E1" s="3"/>
      <c r="F1" s="3"/>
      <c r="G1" s="1"/>
      <c r="H1" s="1"/>
    </row>
    <row r="2" ht="54.0" customHeight="1">
      <c r="A2" s="4"/>
      <c r="B2" s="5">
        <v>2026.0</v>
      </c>
      <c r="C2" s="6" t="s">
        <v>1</v>
      </c>
      <c r="F2" s="4"/>
      <c r="G2" s="4"/>
      <c r="H2" s="4"/>
    </row>
    <row r="3" ht="14.25" customHeight="1">
      <c r="A3" s="7"/>
      <c r="B3" s="8" t="s">
        <v>2</v>
      </c>
      <c r="C3" s="8" t="str">
        <f t="shared" ref="C3:H3" si="1">UPPER(TEXT(C4,"dddd"))</f>
        <v>SEGUNDA-FEIRA</v>
      </c>
      <c r="D3" s="8" t="str">
        <f t="shared" si="1"/>
        <v>TERÇA-FEIRA</v>
      </c>
      <c r="E3" s="8" t="str">
        <f t="shared" si="1"/>
        <v>QUARTA-FEIRA</v>
      </c>
      <c r="F3" s="8" t="str">
        <f t="shared" si="1"/>
        <v>QUINTA-FEIRA</v>
      </c>
      <c r="G3" s="8" t="str">
        <f t="shared" si="1"/>
        <v>SEXTA-FEIRA</v>
      </c>
      <c r="H3" s="8" t="str">
        <f t="shared" si="1"/>
        <v>SÁBADO</v>
      </c>
    </row>
    <row r="4" ht="16.5" customHeight="1">
      <c r="B4" s="9">
        <f t="array" ref="B4:H4">Dias+1+DATE(CalendárioAno1,CaléndárioMês1Opção,1)-WEEKDAY(DATE(CalendárioAno1,CaléndárioMês1Opção,1),DiaDaSemanaOpção)</f>
        <v>46019</v>
      </c>
      <c r="C4" s="9">
        <v>46020.0</v>
      </c>
      <c r="D4" s="9">
        <v>46021.0</v>
      </c>
      <c r="E4" s="9">
        <v>46022.0</v>
      </c>
      <c r="F4" s="9">
        <v>46023.0</v>
      </c>
      <c r="G4" s="9">
        <v>46024.0</v>
      </c>
      <c r="H4" s="10">
        <v>46025.0</v>
      </c>
    </row>
    <row r="5" ht="56.25" customHeight="1">
      <c r="B5" s="11"/>
      <c r="C5" s="11"/>
      <c r="D5" s="11"/>
      <c r="E5" s="11"/>
      <c r="F5" s="11"/>
      <c r="G5" s="11"/>
      <c r="H5" s="12"/>
    </row>
    <row r="6" ht="16.5" customHeight="1">
      <c r="B6" s="9">
        <f t="array" ref="B6:H6">Dias+8+DATE(CalendárioAno1,CaléndárioMês1Opção,1)-WEEKDAY(DATE(CalendárioAno1,CaléndárioMês1Opção,1),DiaDaSemanaOpção)</f>
        <v>46026</v>
      </c>
      <c r="C6" s="9">
        <v>46027.0</v>
      </c>
      <c r="D6" s="9">
        <v>46028.0</v>
      </c>
      <c r="E6" s="9">
        <v>46029.0</v>
      </c>
      <c r="F6" s="9">
        <v>46030.0</v>
      </c>
      <c r="G6" s="9">
        <v>46031.0</v>
      </c>
      <c r="H6" s="10">
        <v>46032.0</v>
      </c>
    </row>
    <row r="7" ht="56.25" customHeight="1">
      <c r="B7" s="11"/>
      <c r="C7" s="11"/>
      <c r="D7" s="11"/>
      <c r="E7" s="11"/>
      <c r="F7" s="11"/>
      <c r="G7" s="11"/>
      <c r="H7" s="13"/>
    </row>
    <row r="8" ht="16.5" customHeight="1">
      <c r="B8" s="9">
        <f t="array" ref="B8:H8">Dias+15+DATE(CalendárioAno1,CaléndárioMês1Opção,1)-WEEKDAY(DATE(CalendárioAno1,CaléndárioMês1Opção,1),DiaDaSemanaOpção)</f>
        <v>46033</v>
      </c>
      <c r="C8" s="9">
        <v>46034.0</v>
      </c>
      <c r="D8" s="9">
        <v>46035.0</v>
      </c>
      <c r="E8" s="9">
        <v>46036.0</v>
      </c>
      <c r="F8" s="9">
        <v>46037.0</v>
      </c>
      <c r="G8" s="9">
        <v>46038.0</v>
      </c>
      <c r="H8" s="10">
        <v>46039.0</v>
      </c>
    </row>
    <row r="9" ht="56.25" customHeight="1">
      <c r="B9" s="11"/>
      <c r="C9" s="11"/>
      <c r="D9" s="11"/>
      <c r="E9" s="11"/>
      <c r="F9" s="14" t="s">
        <v>3</v>
      </c>
      <c r="G9" s="11"/>
      <c r="H9" s="12"/>
    </row>
    <row r="10" ht="16.5" customHeight="1">
      <c r="B10" s="9">
        <f t="array" ref="B10:H10">Dias+22+DATE(CalendárioAno1,CaléndárioMês1Opção,1)-WEEKDAY(DATE(CalendárioAno1,CaléndárioMês1Opção,1),DiaDaSemanaOpção)</f>
        <v>46040</v>
      </c>
      <c r="C10" s="9">
        <v>46041.0</v>
      </c>
      <c r="D10" s="9">
        <v>46042.0</v>
      </c>
      <c r="E10" s="9">
        <v>46043.0</v>
      </c>
      <c r="F10" s="9">
        <v>46044.0</v>
      </c>
      <c r="G10" s="9">
        <v>46045.0</v>
      </c>
      <c r="H10" s="10">
        <v>46046.0</v>
      </c>
    </row>
    <row r="11" ht="56.25" customHeight="1">
      <c r="B11" s="11"/>
      <c r="C11" s="11"/>
      <c r="D11" s="11"/>
      <c r="E11" s="11"/>
      <c r="F11" s="11"/>
      <c r="G11" s="11"/>
      <c r="H11" s="12"/>
    </row>
    <row r="12" ht="16.5" customHeight="1">
      <c r="B12" s="9">
        <f t="array" ref="B12:H12">Dias+29+DATE(CalendárioAno1,CaléndárioMês1Opção,1)-WEEKDAY(DATE(CalendárioAno1,CaléndárioMês1Opção,1),DiaDaSemanaOpção)</f>
        <v>46047</v>
      </c>
      <c r="C12" s="9">
        <v>46048.0</v>
      </c>
      <c r="D12" s="9">
        <v>46049.0</v>
      </c>
      <c r="E12" s="9">
        <v>46050.0</v>
      </c>
      <c r="F12" s="9">
        <v>46051.0</v>
      </c>
      <c r="G12" s="9">
        <v>46052.0</v>
      </c>
      <c r="H12" s="10">
        <v>46053.0</v>
      </c>
    </row>
    <row r="13" ht="57.0" customHeight="1">
      <c r="B13" s="11"/>
      <c r="C13" s="11"/>
      <c r="D13" s="11"/>
      <c r="E13" s="11"/>
      <c r="F13" s="11"/>
      <c r="G13" s="11"/>
      <c r="H13" s="12"/>
    </row>
    <row r="14" ht="16.5" customHeight="1">
      <c r="B14" s="15">
        <f t="array" ref="B14:C14">Dias+36+DATE(CalendárioAno1,CaléndárioMês1Opção,1)-WEEKDAY(DATE(CalendárioAno1,CaléndárioMês1Opção,1),DiaDaSemanaOpção)</f>
        <v>46054</v>
      </c>
      <c r="C14" s="15">
        <v>46055.0</v>
      </c>
      <c r="D14" s="16" t="s">
        <v>4</v>
      </c>
      <c r="E14" s="17"/>
      <c r="F14" s="17"/>
      <c r="G14" s="17"/>
      <c r="H14" s="17"/>
    </row>
    <row r="15" ht="63.75" customHeight="1">
      <c r="B15" s="18"/>
      <c r="C15" s="18"/>
      <c r="D15" s="19"/>
    </row>
    <row r="16" ht="54.0" customHeight="1">
      <c r="A16" s="4"/>
      <c r="B16" s="5">
        <f>YEAR(DATE(CalendárioAno1,CaléndárioMês1Opção+1,1))</f>
        <v>2026</v>
      </c>
      <c r="C16" s="6" t="str">
        <f>TEXT(DATE(CalendárioAno1,CaléndárioMês1Opção+1,1),"mmmm")</f>
        <v>fevereiro</v>
      </c>
      <c r="F16" s="4"/>
      <c r="G16" s="4"/>
      <c r="H16" s="4"/>
    </row>
    <row r="17" ht="14.25" customHeight="1">
      <c r="A17" s="7"/>
      <c r="B17" s="8" t="str">
        <f t="shared" ref="B17:H17" si="2">UPPER(TEXT(B18,"dddd"))</f>
        <v>DOMINGO</v>
      </c>
      <c r="C17" s="20" t="str">
        <f t="shared" si="2"/>
        <v>SEGUNDA-FEIRA</v>
      </c>
      <c r="D17" s="8" t="str">
        <f t="shared" si="2"/>
        <v>TERÇA-FEIRA</v>
      </c>
      <c r="E17" s="20" t="str">
        <f t="shared" si="2"/>
        <v>QUARTA-FEIRA</v>
      </c>
      <c r="F17" s="8" t="str">
        <f t="shared" si="2"/>
        <v>QUINTA-FEIRA</v>
      </c>
      <c r="G17" s="20" t="str">
        <f t="shared" si="2"/>
        <v>SEXTA-FEIRA</v>
      </c>
      <c r="H17" s="8" t="str">
        <f t="shared" si="2"/>
        <v>SÁBADO</v>
      </c>
    </row>
    <row r="18" ht="16.5" customHeight="1">
      <c r="B18" s="9">
        <f t="array" ref="B18:H18">Dias+1+DATE(CalendárioAno2,CaléndárioMês2Opção,1)-WEEKDAY(DATE(CalendárioAno2,CaléndárioMês2Opção,1),DiaDaSemanaOpção)</f>
        <v>46054</v>
      </c>
      <c r="C18" s="9">
        <v>46055.0</v>
      </c>
      <c r="D18" s="9">
        <v>46056.0</v>
      </c>
      <c r="E18" s="9">
        <v>46057.0</v>
      </c>
      <c r="F18" s="9">
        <v>46058.0</v>
      </c>
      <c r="G18" s="9">
        <v>46059.0</v>
      </c>
      <c r="H18" s="10">
        <v>46060.0</v>
      </c>
    </row>
    <row r="19" ht="56.25" customHeight="1">
      <c r="B19" s="11"/>
      <c r="C19" s="11"/>
      <c r="D19" s="11" t="s">
        <v>5</v>
      </c>
      <c r="E19" s="11"/>
      <c r="F19" s="11"/>
      <c r="G19" s="11"/>
      <c r="H19" s="12"/>
    </row>
    <row r="20" ht="16.5" customHeight="1">
      <c r="B20" s="9">
        <f t="array" ref="B20:H20">Dias+8+DATE(CalendárioAno2,CaléndárioMês2Opção,1)-WEEKDAY(DATE(CalendárioAno2,CaléndárioMês2Opção,1),DiaDaSemanaOpção)</f>
        <v>46061</v>
      </c>
      <c r="C20" s="9">
        <v>46062.0</v>
      </c>
      <c r="D20" s="9">
        <v>46063.0</v>
      </c>
      <c r="E20" s="9">
        <v>46064.0</v>
      </c>
      <c r="F20" s="9">
        <v>46065.0</v>
      </c>
      <c r="G20" s="9">
        <v>46066.0</v>
      </c>
      <c r="H20" s="10">
        <v>46067.0</v>
      </c>
    </row>
    <row r="21" ht="56.25" customHeight="1">
      <c r="B21" s="11"/>
      <c r="C21" s="11"/>
      <c r="D21" s="11"/>
      <c r="E21" s="11"/>
      <c r="F21" s="11"/>
      <c r="G21" s="11"/>
      <c r="H21" s="12"/>
    </row>
    <row r="22" ht="16.5" customHeight="1">
      <c r="B22" s="9">
        <f t="array" ref="B22:H22">Dias+15+DATE(CalendárioAno2,CaléndárioMês2Opção,1)-WEEKDAY(DATE(CalendárioAno2,CaléndárioMês2Opção,1),DiaDaSemanaOpção)</f>
        <v>46068</v>
      </c>
      <c r="C22" s="9">
        <v>46069.0</v>
      </c>
      <c r="D22" s="9">
        <v>46070.0</v>
      </c>
      <c r="E22" s="9">
        <v>46071.0</v>
      </c>
      <c r="F22" s="9">
        <v>46072.0</v>
      </c>
      <c r="G22" s="9">
        <v>46073.0</v>
      </c>
      <c r="H22" s="10">
        <v>46074.0</v>
      </c>
    </row>
    <row r="23" ht="56.25" customHeight="1">
      <c r="B23" s="11"/>
      <c r="C23" s="11"/>
      <c r="D23" s="11"/>
      <c r="E23" s="11"/>
      <c r="F23" s="11"/>
      <c r="G23" s="11"/>
      <c r="H23" s="12"/>
    </row>
    <row r="24" ht="16.5" customHeight="1">
      <c r="B24" s="9">
        <f t="array" ref="B24:H24">Dias+22+DATE(CalendárioAno2,CaléndárioMês2Opção,1)-WEEKDAY(DATE(CalendárioAno2,CaléndárioMês2Opção,1),DiaDaSemanaOpção)</f>
        <v>46075</v>
      </c>
      <c r="C24" s="9">
        <v>46076.0</v>
      </c>
      <c r="D24" s="9">
        <v>46077.0</v>
      </c>
      <c r="E24" s="9">
        <v>46078.0</v>
      </c>
      <c r="F24" s="9">
        <v>46079.0</v>
      </c>
      <c r="G24" s="9">
        <v>46080.0</v>
      </c>
      <c r="H24" s="10">
        <v>46081.0</v>
      </c>
    </row>
    <row r="25" ht="56.25" customHeight="1">
      <c r="B25" s="11"/>
      <c r="C25" s="11"/>
      <c r="D25" s="11"/>
      <c r="E25" s="11"/>
      <c r="F25" s="11"/>
      <c r="G25" s="11"/>
      <c r="H25" s="12"/>
    </row>
    <row r="26" ht="16.5" customHeight="1">
      <c r="B26" s="21">
        <f t="array" ref="B26:H26">Dias+29+DATE(CalendárioAno2,CaléndárioMês2Opção,1)-WEEKDAY(DATE(CalendárioAno2,CaléndárioMês2Opção,1),DiaDaSemanaOpção)</f>
        <v>46082</v>
      </c>
      <c r="C26" s="21">
        <v>46083.0</v>
      </c>
      <c r="D26" s="21">
        <v>46084.0</v>
      </c>
      <c r="E26" s="21">
        <v>46085.0</v>
      </c>
      <c r="F26" s="21">
        <v>46086.0</v>
      </c>
      <c r="G26" s="21">
        <v>46087.0</v>
      </c>
      <c r="H26" s="22">
        <v>46088.0</v>
      </c>
    </row>
    <row r="27" ht="57.0" customHeight="1">
      <c r="B27" s="23"/>
      <c r="C27" s="23"/>
      <c r="D27" s="23"/>
      <c r="E27" s="23"/>
      <c r="F27" s="23"/>
      <c r="G27" s="23"/>
      <c r="H27" s="24"/>
    </row>
    <row r="28" ht="16.5" customHeight="1">
      <c r="B28" s="21">
        <f t="array" ref="B28:C28">Dias+36+DATE(CalendárioAno2,CaléndárioMês2Opção,1)-WEEKDAY(DATE(CalendárioAno2,CaléndárioMês2Opção,1),DiaDaSemanaOpção)</f>
        <v>46089</v>
      </c>
      <c r="C28" s="21">
        <v>46090.0</v>
      </c>
      <c r="D28" s="25" t="s">
        <v>4</v>
      </c>
      <c r="E28" s="17"/>
      <c r="F28" s="17"/>
      <c r="G28" s="17"/>
      <c r="H28" s="17"/>
    </row>
    <row r="29" ht="63.75" customHeight="1">
      <c r="B29" s="23"/>
      <c r="C29" s="23"/>
      <c r="D29" s="19"/>
    </row>
    <row r="30" ht="54.0" customHeight="1">
      <c r="A30" s="4"/>
      <c r="B30" s="5">
        <f>YEAR(DATE(CalendárioAno2,CaléndárioMês2Opção+1,1))</f>
        <v>2026</v>
      </c>
      <c r="C30" s="6" t="str">
        <f>TEXT(DATE(CalendárioAno2,CaléndárioMês2Opção+1,1),"mmmm")</f>
        <v>março</v>
      </c>
      <c r="F30" s="4"/>
      <c r="G30" s="4"/>
      <c r="H30" s="4"/>
    </row>
    <row r="31" ht="14.25" customHeight="1">
      <c r="A31" s="7"/>
      <c r="B31" s="8" t="str">
        <f t="shared" ref="B31:H31" si="3">UPPER(TEXT(B32,"dddd"))</f>
        <v>DOMINGO</v>
      </c>
      <c r="C31" s="8" t="str">
        <f t="shared" si="3"/>
        <v>SEGUNDA-FEIRA</v>
      </c>
      <c r="D31" s="8" t="str">
        <f t="shared" si="3"/>
        <v>TERÇA-FEIRA</v>
      </c>
      <c r="E31" s="8" t="str">
        <f t="shared" si="3"/>
        <v>QUARTA-FEIRA</v>
      </c>
      <c r="F31" s="8" t="str">
        <f t="shared" si="3"/>
        <v>QUINTA-FEIRA</v>
      </c>
      <c r="G31" s="8" t="str">
        <f t="shared" si="3"/>
        <v>SEXTA-FEIRA</v>
      </c>
      <c r="H31" s="8" t="str">
        <f t="shared" si="3"/>
        <v>SÁBADO</v>
      </c>
    </row>
    <row r="32" ht="16.5" customHeight="1">
      <c r="B32" s="9">
        <f t="array" ref="B32:H32">Dias+1+DATE(CalendárioAno3,CaléndárioMês3Opção,1)-WEEKDAY(DATE(CalendárioAno3,CaléndárioMês3Opção,1),DiaDaSemanaOpção)</f>
        <v>46082</v>
      </c>
      <c r="C32" s="9">
        <v>46083.0</v>
      </c>
      <c r="D32" s="9">
        <v>46084.0</v>
      </c>
      <c r="E32" s="9">
        <v>46085.0</v>
      </c>
      <c r="F32" s="9">
        <v>46086.0</v>
      </c>
      <c r="G32" s="9">
        <v>46087.0</v>
      </c>
      <c r="H32" s="10">
        <v>46088.0</v>
      </c>
    </row>
    <row r="33" ht="56.25" customHeight="1">
      <c r="B33" s="11"/>
      <c r="C33" s="11"/>
      <c r="D33" s="11"/>
      <c r="E33" s="11"/>
      <c r="F33" s="11"/>
      <c r="G33" s="11"/>
      <c r="H33" s="12"/>
    </row>
    <row r="34" ht="16.5" customHeight="1">
      <c r="B34" s="9">
        <f t="array" ref="B34:H34">Dias+8+DATE(CalendárioAno3,CaléndárioMês3Opção,1)-WEEKDAY(DATE(CalendárioAno3,CaléndárioMês3Opção,1),DiaDaSemanaOpção)</f>
        <v>46089</v>
      </c>
      <c r="C34" s="9">
        <v>46090.0</v>
      </c>
      <c r="D34" s="9">
        <v>46091.0</v>
      </c>
      <c r="E34" s="9">
        <v>46092.0</v>
      </c>
      <c r="F34" s="9">
        <v>46093.0</v>
      </c>
      <c r="G34" s="9">
        <v>46094.0</v>
      </c>
      <c r="H34" s="10">
        <v>46095.0</v>
      </c>
    </row>
    <row r="35" ht="312.0" customHeight="1">
      <c r="A35" s="26"/>
      <c r="B35" s="27"/>
      <c r="C35" s="28" t="s">
        <v>6</v>
      </c>
      <c r="D35" s="28"/>
      <c r="E35" s="28" t="s">
        <v>7</v>
      </c>
      <c r="F35" s="28" t="s">
        <v>8</v>
      </c>
      <c r="G35" s="28" t="s">
        <v>9</v>
      </c>
      <c r="H35" s="29"/>
    </row>
    <row r="36" ht="16.5" customHeight="1">
      <c r="B36" s="9">
        <f t="array" ref="B36:H36">Dias+15+DATE(CalendárioAno3,CaléndárioMês3Opção,1)-WEEKDAY(DATE(CalendárioAno3,CaléndárioMês3Opção,1),DiaDaSemanaOpção)</f>
        <v>46096</v>
      </c>
      <c r="C36" s="9">
        <v>46097.0</v>
      </c>
      <c r="D36" s="9">
        <v>46098.0</v>
      </c>
      <c r="E36" s="9">
        <v>46099.0</v>
      </c>
      <c r="F36" s="9">
        <v>46100.0</v>
      </c>
      <c r="G36" s="9">
        <v>46101.0</v>
      </c>
      <c r="H36" s="10">
        <v>46102.0</v>
      </c>
    </row>
    <row r="37" ht="287.25" customHeight="1">
      <c r="B37" s="27"/>
      <c r="C37" s="27"/>
      <c r="D37" s="28"/>
      <c r="E37" s="28" t="s">
        <v>10</v>
      </c>
      <c r="F37" s="28" t="s">
        <v>11</v>
      </c>
      <c r="G37" s="28" t="s">
        <v>12</v>
      </c>
      <c r="H37" s="29"/>
    </row>
    <row r="38" ht="16.5" customHeight="1">
      <c r="B38" s="9">
        <f t="array" ref="B38:H38">Dias+22+DATE(CalendárioAno3,CaléndárioMês3Opção,1)-WEEKDAY(DATE(CalendárioAno3,CaléndárioMês3Opção,1),DiaDaSemanaOpção)</f>
        <v>46103</v>
      </c>
      <c r="C38" s="9">
        <v>46104.0</v>
      </c>
      <c r="D38" s="9">
        <v>46105.0</v>
      </c>
      <c r="E38" s="9">
        <v>46106.0</v>
      </c>
      <c r="F38" s="9">
        <v>46107.0</v>
      </c>
      <c r="G38" s="9">
        <v>46108.0</v>
      </c>
      <c r="H38" s="10">
        <v>46109.0</v>
      </c>
    </row>
    <row r="39" ht="294.75" customHeight="1">
      <c r="B39" s="27"/>
      <c r="C39" s="27"/>
      <c r="D39" s="28"/>
      <c r="E39" s="28" t="s">
        <v>13</v>
      </c>
      <c r="F39" s="28"/>
      <c r="G39" s="28" t="s">
        <v>14</v>
      </c>
      <c r="H39" s="29"/>
    </row>
    <row r="40" ht="16.5" customHeight="1">
      <c r="B40" s="9">
        <f t="array" ref="B40:H40">Dias+29+DATE(CalendárioAno3,CaléndárioMês3Opção,1)-WEEKDAY(DATE(CalendárioAno3,CaléndárioMês3Opção,1),DiaDaSemanaOpção)</f>
        <v>46110</v>
      </c>
      <c r="C40" s="9">
        <v>46111.0</v>
      </c>
      <c r="D40" s="9">
        <v>46112.0</v>
      </c>
      <c r="E40" s="30">
        <v>46113.0</v>
      </c>
      <c r="F40" s="30">
        <v>46114.0</v>
      </c>
      <c r="G40" s="30">
        <v>46115.0</v>
      </c>
      <c r="H40" s="31">
        <v>46116.0</v>
      </c>
    </row>
    <row r="41" ht="306.0" customHeight="1">
      <c r="B41" s="27"/>
      <c r="C41" s="27"/>
      <c r="D41" s="28"/>
      <c r="E41" s="32"/>
      <c r="F41" s="32"/>
      <c r="G41" s="32"/>
      <c r="H41" s="33"/>
    </row>
    <row r="42" ht="16.5" customHeight="1">
      <c r="B42" s="21">
        <f t="array" ref="B42:C42">Dias+36+DATE(CalendárioAno3,CaléndárioMês3Opção,1)-WEEKDAY(DATE(CalendárioAno3,CaléndárioMês3Opção,1),DiaDaSemanaOpção)</f>
        <v>46117</v>
      </c>
      <c r="C42" s="21">
        <v>46118.0</v>
      </c>
      <c r="D42" s="25" t="s">
        <v>4</v>
      </c>
      <c r="E42" s="17"/>
      <c r="F42" s="17"/>
      <c r="G42" s="17"/>
      <c r="H42" s="17"/>
    </row>
    <row r="43" ht="63.75" customHeight="1">
      <c r="B43" s="23"/>
      <c r="C43" s="23"/>
      <c r="D43" s="19"/>
    </row>
    <row r="44" ht="54.0" customHeight="1">
      <c r="A44" s="4"/>
      <c r="B44" s="5">
        <f>YEAR(DATE(CalendárioAno3,CaléndárioMês3Opção+1,1))</f>
        <v>2026</v>
      </c>
      <c r="C44" s="6" t="str">
        <f>TEXT(DATE(CalendárioAno3,CaléndárioMês3Opção+1,1),"mmmm")</f>
        <v>abril</v>
      </c>
      <c r="F44" s="4"/>
      <c r="G44" s="4"/>
      <c r="H44" s="4"/>
    </row>
    <row r="45" ht="14.25" customHeight="1">
      <c r="A45" s="8"/>
      <c r="B45" s="8" t="str">
        <f t="shared" ref="B45:H45" si="4">UPPER(TEXT(B46,"dddd"))</f>
        <v>DOMINGO</v>
      </c>
      <c r="C45" s="8" t="str">
        <f t="shared" si="4"/>
        <v>SEGUNDA-FEIRA</v>
      </c>
      <c r="D45" s="8" t="str">
        <f t="shared" si="4"/>
        <v>TERÇA-FEIRA</v>
      </c>
      <c r="E45" s="8" t="str">
        <f t="shared" si="4"/>
        <v>QUARTA-FEIRA</v>
      </c>
      <c r="F45" s="8" t="str">
        <f t="shared" si="4"/>
        <v>QUINTA-FEIRA</v>
      </c>
      <c r="G45" s="8" t="str">
        <f t="shared" si="4"/>
        <v>SEXTA-FEIRA</v>
      </c>
      <c r="H45" s="8" t="str">
        <f t="shared" si="4"/>
        <v>SÁBADO</v>
      </c>
      <c r="I45" s="34"/>
      <c r="J45" s="34"/>
    </row>
    <row r="46" ht="16.5" customHeight="1">
      <c r="B46" s="21">
        <f t="array" ref="B46:H46">Dias+1+DATE(CalendárioAno4,CaléndárioMês4Opção,1)-WEEKDAY(DATE(CalendárioAno4,CaléndárioMês4Opção,1),DiaDaSemanaOpção)</f>
        <v>46110</v>
      </c>
      <c r="C46" s="21">
        <v>46111.0</v>
      </c>
      <c r="D46" s="21">
        <v>46112.0</v>
      </c>
      <c r="E46" s="9">
        <v>46113.0</v>
      </c>
      <c r="F46" s="9">
        <v>46114.0</v>
      </c>
      <c r="G46" s="9">
        <v>46115.0</v>
      </c>
      <c r="H46" s="10">
        <v>46116.0</v>
      </c>
    </row>
    <row r="47" ht="265.5" customHeight="1">
      <c r="B47" s="23"/>
      <c r="C47" s="23"/>
      <c r="D47" s="23"/>
      <c r="E47" s="28" t="s">
        <v>15</v>
      </c>
      <c r="F47" s="28" t="s">
        <v>16</v>
      </c>
      <c r="G47" s="35" t="s">
        <v>17</v>
      </c>
      <c r="H47" s="12"/>
    </row>
    <row r="48" ht="16.5" customHeight="1">
      <c r="B48" s="9">
        <f t="array" ref="B48:H48">Dias+8+DATE(CalendárioAno4,CaléndárioMês4Opção,1)-WEEKDAY(DATE(CalendárioAno4,CaléndárioMês4Opção,1),DiaDaSemanaOpção)</f>
        <v>46117</v>
      </c>
      <c r="C48" s="9">
        <v>46118.0</v>
      </c>
      <c r="D48" s="9">
        <v>46119.0</v>
      </c>
      <c r="E48" s="9">
        <v>46120.0</v>
      </c>
      <c r="F48" s="9">
        <v>46121.0</v>
      </c>
      <c r="G48" s="9">
        <v>46122.0</v>
      </c>
      <c r="H48" s="10">
        <v>46123.0</v>
      </c>
    </row>
    <row r="49" ht="301.5" customHeight="1">
      <c r="B49" s="27"/>
      <c r="C49" s="28"/>
      <c r="D49" s="28"/>
      <c r="E49" s="28" t="s">
        <v>18</v>
      </c>
      <c r="F49" s="28" t="s">
        <v>19</v>
      </c>
      <c r="G49" s="28" t="s">
        <v>20</v>
      </c>
      <c r="H49" s="29"/>
    </row>
    <row r="50" ht="16.5" customHeight="1">
      <c r="B50" s="9">
        <f t="array" ref="B50:H50">Dias+15+DATE(CalendárioAno4,CaléndárioMês4Opção,1)-WEEKDAY(DATE(CalendárioAno4,CaléndárioMês4Opção,1),DiaDaSemanaOpção)</f>
        <v>46124</v>
      </c>
      <c r="C50" s="9">
        <v>46125.0</v>
      </c>
      <c r="D50" s="9">
        <v>46126.0</v>
      </c>
      <c r="E50" s="9">
        <v>46127.0</v>
      </c>
      <c r="F50" s="9">
        <v>46128.0</v>
      </c>
      <c r="G50" s="9">
        <v>46129.0</v>
      </c>
      <c r="H50" s="10">
        <v>46130.0</v>
      </c>
    </row>
    <row r="51" ht="290.25" customHeight="1">
      <c r="B51" s="27"/>
      <c r="C51" s="28"/>
      <c r="D51" s="28"/>
      <c r="E51" s="28" t="s">
        <v>21</v>
      </c>
      <c r="F51" s="28" t="s">
        <v>22</v>
      </c>
      <c r="G51" s="28" t="s">
        <v>23</v>
      </c>
      <c r="H51" s="29"/>
    </row>
    <row r="52" ht="16.5" customHeight="1">
      <c r="B52" s="9">
        <f t="array" ref="B52:H52">Dias+22+DATE(CalendárioAno4,CaléndárioMês4Opção,1)-WEEKDAY(DATE(CalendárioAno4,CaléndárioMês4Opção,1),DiaDaSemanaOpção)</f>
        <v>46131</v>
      </c>
      <c r="C52" s="9">
        <v>46132.0</v>
      </c>
      <c r="D52" s="9">
        <v>46133.0</v>
      </c>
      <c r="E52" s="9">
        <v>46134.0</v>
      </c>
      <c r="F52" s="9">
        <v>46135.0</v>
      </c>
      <c r="G52" s="9">
        <v>46136.0</v>
      </c>
      <c r="H52" s="10">
        <v>46137.0</v>
      </c>
    </row>
    <row r="53" ht="199.5" customHeight="1">
      <c r="B53" s="27"/>
      <c r="C53" s="28"/>
      <c r="D53" s="36" t="s">
        <v>24</v>
      </c>
      <c r="E53" s="28" t="s">
        <v>25</v>
      </c>
      <c r="F53" s="28" t="s">
        <v>26</v>
      </c>
      <c r="G53" s="28" t="s">
        <v>27</v>
      </c>
      <c r="H53" s="29"/>
    </row>
    <row r="54" ht="16.5" customHeight="1">
      <c r="B54" s="9">
        <f t="array" ref="B54:H54">Dias+29+DATE(CalendárioAno4,CaléndárioMês4Opção,1)-WEEKDAY(DATE(CalendárioAno4,CaléndárioMês4Opção,1),DiaDaSemanaOpção)</f>
        <v>46138</v>
      </c>
      <c r="C54" s="9">
        <v>46139.0</v>
      </c>
      <c r="D54" s="9">
        <v>46140.0</v>
      </c>
      <c r="E54" s="9">
        <v>46141.0</v>
      </c>
      <c r="F54" s="9">
        <v>46142.0</v>
      </c>
      <c r="G54" s="21">
        <v>46143.0</v>
      </c>
      <c r="H54" s="22">
        <v>46144.0</v>
      </c>
    </row>
    <row r="55" ht="305.25" customHeight="1">
      <c r="B55" s="27"/>
      <c r="C55" s="27"/>
      <c r="D55" s="28" t="s">
        <v>28</v>
      </c>
      <c r="E55" s="28" t="s">
        <v>29</v>
      </c>
      <c r="F55" s="28" t="s">
        <v>30</v>
      </c>
      <c r="G55" s="37" t="s">
        <v>31</v>
      </c>
      <c r="H55" s="38"/>
    </row>
    <row r="56" ht="16.5" customHeight="1">
      <c r="B56" s="9">
        <f t="array" ref="B56:C56">Dias+36+DATE(CalendárioAno4,CaléndárioMês4Opção,1)-WEEKDAY(DATE(CalendárioAno4,CaléndárioMês4Opção,1),DiaDaSemanaOpção)</f>
        <v>46145</v>
      </c>
      <c r="C56" s="9">
        <v>46146.0</v>
      </c>
      <c r="D56" s="25" t="s">
        <v>4</v>
      </c>
      <c r="E56" s="17"/>
      <c r="F56" s="17"/>
      <c r="G56" s="17"/>
      <c r="H56" s="17"/>
    </row>
    <row r="57" ht="63.75" customHeight="1">
      <c r="B57" s="11"/>
      <c r="C57" s="11"/>
      <c r="D57" s="19"/>
    </row>
    <row r="58" ht="54.0" customHeight="1">
      <c r="A58" s="4"/>
      <c r="B58" s="5">
        <f>YEAR(DATE(CalendárioAno4,CaléndárioMês4Opção+1,1))</f>
        <v>2026</v>
      </c>
      <c r="C58" s="6" t="str">
        <f>TEXT(DATE(CalendárioAno4,CaléndárioMês4Opção+1,1),"mmmm")</f>
        <v>maio</v>
      </c>
      <c r="F58" s="4"/>
      <c r="G58" s="4"/>
      <c r="H58" s="4"/>
    </row>
    <row r="59" ht="14.25" customHeight="1">
      <c r="A59" s="7"/>
      <c r="B59" s="8" t="str">
        <f t="shared" ref="B59:H59" si="5">UPPER(TEXT(B60,"dddd"))</f>
        <v>DOMINGO</v>
      </c>
      <c r="C59" s="8" t="str">
        <f t="shared" si="5"/>
        <v>SEGUNDA-FEIRA</v>
      </c>
      <c r="D59" s="8" t="str">
        <f t="shared" si="5"/>
        <v>TERÇA-FEIRA</v>
      </c>
      <c r="E59" s="8" t="str">
        <f t="shared" si="5"/>
        <v>QUARTA-FEIRA</v>
      </c>
      <c r="F59" s="8" t="str">
        <f t="shared" si="5"/>
        <v>QUINTA-FEIRA</v>
      </c>
      <c r="G59" s="8" t="str">
        <f t="shared" si="5"/>
        <v>SEXTA-FEIRA</v>
      </c>
      <c r="H59" s="8" t="str">
        <f t="shared" si="5"/>
        <v>SÁBADO</v>
      </c>
    </row>
    <row r="60" ht="16.5" customHeight="1">
      <c r="B60" s="39">
        <f t="array" ref="B60:H60">Dias+1+DATE(CalendárioAno5,CaléndárioMês5Opção,1)-WEEKDAY(DATE(CalendárioAno5,CaléndárioMês5Opção,1),DiaDaSemanaOpção)</f>
        <v>46138</v>
      </c>
      <c r="C60" s="39">
        <v>46139.0</v>
      </c>
      <c r="D60" s="39">
        <v>46140.0</v>
      </c>
      <c r="E60" s="39">
        <v>46141.0</v>
      </c>
      <c r="F60" s="39">
        <v>46142.0</v>
      </c>
      <c r="G60" s="9">
        <v>46143.0</v>
      </c>
      <c r="H60" s="10">
        <v>46144.0</v>
      </c>
    </row>
    <row r="61" ht="56.25" customHeight="1">
      <c r="B61" s="11"/>
      <c r="C61" s="11"/>
      <c r="D61" s="11"/>
      <c r="E61" s="11"/>
      <c r="F61" s="11"/>
      <c r="G61" s="35" t="s">
        <v>31</v>
      </c>
      <c r="H61" s="12"/>
    </row>
    <row r="62" ht="16.5" customHeight="1">
      <c r="B62" s="9">
        <f t="array" ref="B62:H62">Dias+8+DATE(CalendárioAno5,CaléndárioMês5Opção,1)-WEEKDAY(DATE(CalendárioAno5,CaléndárioMês5Opção,1),DiaDaSemanaOpção)</f>
        <v>46145</v>
      </c>
      <c r="C62" s="9">
        <v>46146.0</v>
      </c>
      <c r="D62" s="9">
        <v>46147.0</v>
      </c>
      <c r="E62" s="9">
        <v>46148.0</v>
      </c>
      <c r="F62" s="9">
        <v>46149.0</v>
      </c>
      <c r="G62" s="9">
        <v>46150.0</v>
      </c>
      <c r="H62" s="10">
        <v>46151.0</v>
      </c>
    </row>
    <row r="63" ht="290.25" customHeight="1">
      <c r="B63" s="27"/>
      <c r="C63" s="27"/>
      <c r="D63" s="28" t="s">
        <v>32</v>
      </c>
      <c r="E63" s="28" t="s">
        <v>33</v>
      </c>
      <c r="F63" s="28"/>
      <c r="G63" s="28" t="s">
        <v>34</v>
      </c>
      <c r="H63" s="29"/>
    </row>
    <row r="64" ht="16.5" customHeight="1">
      <c r="B64" s="9">
        <f t="array" ref="B64:H64">Dias+15+DATE(CalendárioAno5,CaléndárioMês5Opção,1)-WEEKDAY(DATE(CalendárioAno5,CaléndárioMês5Opção,1),DiaDaSemanaOpção)</f>
        <v>46152</v>
      </c>
      <c r="C64" s="9">
        <v>46153.0</v>
      </c>
      <c r="D64" s="9">
        <v>46154.0</v>
      </c>
      <c r="E64" s="9">
        <v>46155.0</v>
      </c>
      <c r="F64" s="9">
        <v>46156.0</v>
      </c>
      <c r="G64" s="9">
        <v>46157.0</v>
      </c>
      <c r="H64" s="10">
        <v>46158.0</v>
      </c>
    </row>
    <row r="65" ht="201.75" customHeight="1">
      <c r="B65" s="27"/>
      <c r="C65" s="27"/>
      <c r="D65" s="28" t="s">
        <v>35</v>
      </c>
      <c r="E65" s="28" t="s">
        <v>36</v>
      </c>
      <c r="F65" s="28" t="s">
        <v>37</v>
      </c>
      <c r="G65" s="28" t="s">
        <v>38</v>
      </c>
      <c r="H65" s="29"/>
    </row>
    <row r="66" ht="16.5" customHeight="1">
      <c r="B66" s="9">
        <f t="array" ref="B66:H66">Dias+22+DATE(CalendárioAno5,CaléndárioMês5Opção,1)-WEEKDAY(DATE(CalendárioAno5,CaléndárioMês5Opção,1),DiaDaSemanaOpção)</f>
        <v>46159</v>
      </c>
      <c r="C66" s="9">
        <v>46160.0</v>
      </c>
      <c r="D66" s="9">
        <v>46161.0</v>
      </c>
      <c r="E66" s="9">
        <v>46162.0</v>
      </c>
      <c r="F66" s="9">
        <v>46163.0</v>
      </c>
      <c r="G66" s="9">
        <v>46164.0</v>
      </c>
      <c r="H66" s="10">
        <v>46165.0</v>
      </c>
    </row>
    <row r="67" ht="141.75" customHeight="1">
      <c r="B67" s="27"/>
      <c r="C67" s="27"/>
      <c r="D67" s="28" t="s">
        <v>39</v>
      </c>
      <c r="E67" s="28" t="s">
        <v>40</v>
      </c>
      <c r="F67" s="28" t="s">
        <v>41</v>
      </c>
      <c r="G67" s="28" t="s">
        <v>42</v>
      </c>
      <c r="H67" s="29"/>
    </row>
    <row r="68" ht="16.5" customHeight="1">
      <c r="B68" s="9">
        <f t="array" ref="B68:H68">Dias+29+DATE(CalendárioAno5,CaléndárioMês5Opção,1)-WEEKDAY(DATE(CalendárioAno5,CaléndárioMês5Opção,1),DiaDaSemanaOpção)</f>
        <v>46166</v>
      </c>
      <c r="C68" s="9">
        <v>46167.0</v>
      </c>
      <c r="D68" s="9">
        <v>46168.0</v>
      </c>
      <c r="E68" s="9">
        <v>46169.0</v>
      </c>
      <c r="F68" s="9">
        <v>46170.0</v>
      </c>
      <c r="G68" s="9">
        <v>46171.0</v>
      </c>
      <c r="H68" s="10">
        <v>46172.0</v>
      </c>
    </row>
    <row r="69" ht="179.25" customHeight="1">
      <c r="B69" s="27"/>
      <c r="C69" s="27"/>
      <c r="D69" s="27"/>
      <c r="E69" s="40" t="s">
        <v>43</v>
      </c>
      <c r="F69" s="40" t="s">
        <v>44</v>
      </c>
      <c r="G69" s="28" t="s">
        <v>45</v>
      </c>
      <c r="H69" s="41"/>
    </row>
    <row r="70" ht="16.5" customHeight="1">
      <c r="B70" s="9">
        <f t="array" ref="B70:C70">Dias+36+DATE(CalendárioAno5,CaléndárioMês5Opção,1)-WEEKDAY(DATE(CalendárioAno5,CaléndárioMês5Opção,1),DiaDaSemanaOpção)</f>
        <v>46173</v>
      </c>
      <c r="C70" s="9">
        <v>46174.0</v>
      </c>
      <c r="D70" s="25" t="s">
        <v>4</v>
      </c>
      <c r="E70" s="17"/>
      <c r="F70" s="17"/>
      <c r="G70" s="17"/>
      <c r="H70" s="17"/>
    </row>
    <row r="71" ht="63.75" customHeight="1">
      <c r="B71" s="11"/>
      <c r="C71" s="11"/>
      <c r="D71" s="19"/>
    </row>
    <row r="72" ht="54.0" customHeight="1">
      <c r="A72" s="4"/>
      <c r="B72" s="5">
        <f>YEAR(DATE(CalendárioAno5,CaléndárioMês5Opção+1,1))</f>
        <v>2026</v>
      </c>
      <c r="C72" s="6" t="str">
        <f>TEXT(DATE(CalendárioAno5,CaléndárioMês5Opção+1,1),"mmmm")</f>
        <v>junho</v>
      </c>
      <c r="F72" s="4"/>
      <c r="G72" s="4"/>
      <c r="H72" s="4"/>
    </row>
    <row r="73" ht="14.25" customHeight="1">
      <c r="A73" s="7"/>
      <c r="B73" s="8" t="str">
        <f t="shared" ref="B73:H73" si="6">UPPER(TEXT(B74,"dddd"))</f>
        <v>DOMINGO</v>
      </c>
      <c r="C73" s="8" t="str">
        <f t="shared" si="6"/>
        <v>SEGUNDA-FEIRA</v>
      </c>
      <c r="D73" s="8" t="str">
        <f t="shared" si="6"/>
        <v>TERÇA-FEIRA</v>
      </c>
      <c r="E73" s="8" t="str">
        <f t="shared" si="6"/>
        <v>QUARTA-FEIRA</v>
      </c>
      <c r="F73" s="8" t="str">
        <f t="shared" si="6"/>
        <v>QUINTA-FEIRA</v>
      </c>
      <c r="G73" s="8" t="str">
        <f t="shared" si="6"/>
        <v>SEXTA-FEIRA</v>
      </c>
      <c r="H73" s="8" t="str">
        <f t="shared" si="6"/>
        <v>SÁBADO</v>
      </c>
    </row>
    <row r="74" ht="16.5" customHeight="1">
      <c r="B74" s="9">
        <f t="array" ref="B74:H74">Dias+1+DATE(CalendárioAno6,CaléndárioMês6Opção,1)-WEEKDAY(DATE(CalendárioAno6,CaléndárioMês6Opção,1),DiaDaSemanaOpção)</f>
        <v>46173</v>
      </c>
      <c r="C74" s="9">
        <v>46174.0</v>
      </c>
      <c r="D74" s="9">
        <v>46175.0</v>
      </c>
      <c r="E74" s="9">
        <v>46176.0</v>
      </c>
      <c r="F74" s="9">
        <v>46177.0</v>
      </c>
      <c r="G74" s="9">
        <v>46178.0</v>
      </c>
      <c r="H74" s="10">
        <v>46179.0</v>
      </c>
    </row>
    <row r="75" ht="135.0" customHeight="1">
      <c r="B75" s="11"/>
      <c r="C75" s="11"/>
      <c r="D75" s="28" t="s">
        <v>46</v>
      </c>
      <c r="E75" s="28" t="s">
        <v>47</v>
      </c>
      <c r="F75" s="35" t="s">
        <v>48</v>
      </c>
      <c r="G75" s="28" t="s">
        <v>49</v>
      </c>
      <c r="H75" s="12"/>
    </row>
    <row r="76" ht="16.5" customHeight="1">
      <c r="B76" s="9">
        <f t="array" ref="B76:H76">Dias+8+DATE(CalendárioAno6,CaléndárioMês6Opção,1)-WEEKDAY(DATE(CalendárioAno6,CaléndárioMês6Opção,1),DiaDaSemanaOpção)</f>
        <v>46180</v>
      </c>
      <c r="C76" s="9">
        <v>46181.0</v>
      </c>
      <c r="D76" s="9">
        <v>46182.0</v>
      </c>
      <c r="E76" s="9">
        <v>46183.0</v>
      </c>
      <c r="F76" s="9">
        <v>46184.0</v>
      </c>
      <c r="G76" s="9">
        <v>46185.0</v>
      </c>
      <c r="H76" s="10">
        <v>46186.0</v>
      </c>
    </row>
    <row r="77" ht="129.0" customHeight="1">
      <c r="B77" s="11"/>
      <c r="C77" s="11"/>
      <c r="D77" s="28" t="s">
        <v>50</v>
      </c>
      <c r="E77" s="28" t="s">
        <v>51</v>
      </c>
      <c r="F77" s="28" t="s">
        <v>52</v>
      </c>
      <c r="G77" s="28" t="s">
        <v>53</v>
      </c>
      <c r="H77" s="12"/>
    </row>
    <row r="78" ht="16.5" customHeight="1">
      <c r="B78" s="9">
        <f t="array" ref="B78:H78">Dias+15+DATE(CalendárioAno6,CaléndárioMês6Opção,1)-WEEKDAY(DATE(CalendárioAno6,CaléndárioMês6Opção,1),DiaDaSemanaOpção)</f>
        <v>46187</v>
      </c>
      <c r="C78" s="9">
        <v>46188.0</v>
      </c>
      <c r="D78" s="9">
        <v>46189.0</v>
      </c>
      <c r="E78" s="9">
        <v>46190.0</v>
      </c>
      <c r="F78" s="9">
        <v>46191.0</v>
      </c>
      <c r="G78" s="9">
        <v>46192.0</v>
      </c>
      <c r="H78" s="10">
        <v>46193.0</v>
      </c>
    </row>
    <row r="79" ht="136.5" customHeight="1">
      <c r="B79" s="11"/>
      <c r="C79" s="11"/>
      <c r="D79" s="11"/>
      <c r="E79" s="28" t="s">
        <v>54</v>
      </c>
      <c r="F79" s="28" t="s">
        <v>55</v>
      </c>
      <c r="G79" s="28" t="s">
        <v>56</v>
      </c>
      <c r="H79" s="12"/>
    </row>
    <row r="80" ht="16.5" customHeight="1">
      <c r="B80" s="9">
        <f t="array" ref="B80:H80">Dias+22+DATE(CalendárioAno6,CaléndárioMês6Opção,1)-WEEKDAY(DATE(CalendárioAno6,CaléndárioMês6Opção,1),DiaDaSemanaOpção)</f>
        <v>46194</v>
      </c>
      <c r="C80" s="9">
        <v>46195.0</v>
      </c>
      <c r="D80" s="9">
        <v>46196.0</v>
      </c>
      <c r="E80" s="9">
        <v>46197.0</v>
      </c>
      <c r="F80" s="9">
        <v>46198.0</v>
      </c>
      <c r="G80" s="9">
        <v>46199.0</v>
      </c>
      <c r="H80" s="10">
        <v>46200.0</v>
      </c>
    </row>
    <row r="81" ht="56.25" customHeight="1">
      <c r="B81" s="11"/>
      <c r="C81" s="11"/>
      <c r="D81" s="11"/>
      <c r="E81" s="11"/>
      <c r="F81" s="11"/>
      <c r="G81" s="28" t="s">
        <v>57</v>
      </c>
      <c r="H81" s="12"/>
    </row>
    <row r="82" ht="16.5" customHeight="1">
      <c r="B82" s="9">
        <f t="array" ref="B82:H82">Dias+29+DATE(CalendárioAno6,CaléndárioMês6Opção,1)-WEEKDAY(DATE(CalendárioAno6,CaléndárioMês6Opção,1),DiaDaSemanaOpção)</f>
        <v>46201</v>
      </c>
      <c r="C82" s="9">
        <v>46202.0</v>
      </c>
      <c r="D82" s="9">
        <v>46203.0</v>
      </c>
      <c r="E82" s="9">
        <v>46204.0</v>
      </c>
      <c r="F82" s="9">
        <v>46205.0</v>
      </c>
      <c r="G82" s="42">
        <v>46206.0</v>
      </c>
      <c r="H82" s="10">
        <v>46207.0</v>
      </c>
    </row>
    <row r="83" ht="57.0" customHeight="1">
      <c r="B83" s="11"/>
      <c r="C83" s="11"/>
      <c r="D83" s="11"/>
      <c r="E83" s="11"/>
      <c r="F83" s="11"/>
      <c r="G83" s="28"/>
      <c r="H83" s="13"/>
    </row>
    <row r="84" ht="16.5" customHeight="1">
      <c r="B84" s="9">
        <f t="array" ref="B84:C84">Dias+36+DATE(CalendárioAno6,CaléndárioMês6Opção,1)-WEEKDAY(DATE(CalendárioAno6,CaléndárioMês6Opção,1),DiaDaSemanaOpção)</f>
        <v>46208</v>
      </c>
      <c r="C84" s="9">
        <v>46209.0</v>
      </c>
      <c r="D84" s="25" t="s">
        <v>4</v>
      </c>
      <c r="E84" s="17"/>
      <c r="F84" s="17"/>
      <c r="G84" s="17"/>
      <c r="H84" s="17"/>
    </row>
    <row r="85" ht="63.75" customHeight="1">
      <c r="B85" s="11"/>
      <c r="C85" s="11"/>
      <c r="D85" s="19"/>
    </row>
    <row r="86" ht="54.0" customHeight="1">
      <c r="A86" s="4"/>
      <c r="B86" s="5">
        <f>YEAR(DATE(CalendárioAno6,CaléndárioMês6Opção+1,1))</f>
        <v>2026</v>
      </c>
      <c r="C86" s="6" t="str">
        <f>TEXT(DATE(CalendárioAno6,CaléndárioMês6Opção+1,1),"mmmm")</f>
        <v>julho</v>
      </c>
      <c r="F86" s="4"/>
      <c r="G86" s="4"/>
      <c r="H86" s="4"/>
    </row>
    <row r="87" ht="14.25" customHeight="1">
      <c r="A87" s="7"/>
      <c r="B87" s="8" t="str">
        <f t="shared" ref="B87:H87" si="7">UPPER(TEXT(B88,"dddd"))</f>
        <v>DOMINGO</v>
      </c>
      <c r="C87" s="8" t="str">
        <f t="shared" si="7"/>
        <v>SEGUNDA-FEIRA</v>
      </c>
      <c r="D87" s="8" t="str">
        <f t="shared" si="7"/>
        <v>TERÇA-FEIRA</v>
      </c>
      <c r="E87" s="8" t="str">
        <f t="shared" si="7"/>
        <v>QUARTA-FEIRA</v>
      </c>
      <c r="F87" s="8" t="str">
        <f t="shared" si="7"/>
        <v>QUINTA-FEIRA</v>
      </c>
      <c r="G87" s="8" t="str">
        <f t="shared" si="7"/>
        <v>SEXTA-FEIRA</v>
      </c>
      <c r="H87" s="8" t="str">
        <f t="shared" si="7"/>
        <v>SÁBADO</v>
      </c>
    </row>
    <row r="88" ht="16.5" customHeight="1">
      <c r="B88" s="9">
        <f t="array" ref="B88:H88">Dias+1+DATE(CalendárioAno7,CaléndárioMês7Opção,1)-WEEKDAY(DATE(CalendárioAno7,CaléndárioMês7Opção,1),DiaDaSemanaOpção)</f>
        <v>46201</v>
      </c>
      <c r="C88" s="9">
        <v>46202.0</v>
      </c>
      <c r="D88" s="9">
        <v>46203.0</v>
      </c>
      <c r="E88" s="9">
        <v>46204.0</v>
      </c>
      <c r="F88" s="9">
        <v>46205.0</v>
      </c>
      <c r="G88" s="9">
        <v>46206.0</v>
      </c>
      <c r="H88" s="10">
        <v>46207.0</v>
      </c>
    </row>
    <row r="89" ht="56.25" customHeight="1">
      <c r="B89" s="11"/>
      <c r="C89" s="11"/>
      <c r="D89" s="11"/>
      <c r="E89" s="11"/>
      <c r="F89" s="11"/>
      <c r="G89" s="28" t="s">
        <v>58</v>
      </c>
      <c r="H89" s="12"/>
    </row>
    <row r="90" ht="16.5" customHeight="1">
      <c r="B90" s="9">
        <f t="array" ref="B90:H90">Dias+8+DATE(CalendárioAno7,CaléndárioMês7Opção,1)-WEEKDAY(DATE(CalendárioAno7,CaléndárioMês7Opção,1),DiaDaSemanaOpção)</f>
        <v>46208</v>
      </c>
      <c r="C90" s="9">
        <v>46209.0</v>
      </c>
      <c r="D90" s="9">
        <v>46210.0</v>
      </c>
      <c r="E90" s="9">
        <v>46211.0</v>
      </c>
      <c r="F90" s="9">
        <v>46212.0</v>
      </c>
      <c r="G90" s="9">
        <v>46213.0</v>
      </c>
      <c r="H90" s="10">
        <v>46214.0</v>
      </c>
    </row>
    <row r="91" ht="56.25" customHeight="1">
      <c r="B91" s="11"/>
      <c r="C91" s="11"/>
      <c r="D91" s="11"/>
      <c r="E91" s="11"/>
      <c r="F91" s="11"/>
      <c r="G91" s="11"/>
      <c r="H91" s="12"/>
    </row>
    <row r="92" ht="16.5" customHeight="1">
      <c r="B92" s="9">
        <f t="array" ref="B92:H92">Dias+15+DATE(CalendárioAno7,CaléndárioMês7Opção,1)-WEEKDAY(DATE(CalendárioAno7,CaléndárioMês7Opção,1),DiaDaSemanaOpção)</f>
        <v>46215</v>
      </c>
      <c r="C92" s="9">
        <v>46216.0</v>
      </c>
      <c r="D92" s="9">
        <v>46217.0</v>
      </c>
      <c r="E92" s="9">
        <v>46218.0</v>
      </c>
      <c r="F92" s="9">
        <v>46219.0</v>
      </c>
      <c r="G92" s="9">
        <v>46220.0</v>
      </c>
      <c r="H92" s="10">
        <v>46221.0</v>
      </c>
    </row>
    <row r="93" ht="56.25" customHeight="1">
      <c r="B93" s="11"/>
      <c r="C93" s="11"/>
      <c r="D93" s="11"/>
      <c r="E93" s="11"/>
      <c r="F93" s="11"/>
      <c r="G93" s="11"/>
      <c r="H93" s="12"/>
    </row>
    <row r="94" ht="16.5" customHeight="1">
      <c r="B94" s="9">
        <f t="array" ref="B94:H94">Dias+22+DATE(CalendárioAno7,CaléndárioMês7Opção,1)-WEEKDAY(DATE(CalendárioAno7,CaléndárioMês7Opção,1),DiaDaSemanaOpção)</f>
        <v>46222</v>
      </c>
      <c r="C94" s="9">
        <v>46223.0</v>
      </c>
      <c r="D94" s="9">
        <v>46224.0</v>
      </c>
      <c r="E94" s="9">
        <v>46225.0</v>
      </c>
      <c r="F94" s="9">
        <v>46226.0</v>
      </c>
      <c r="G94" s="9">
        <v>46227.0</v>
      </c>
      <c r="H94" s="10">
        <v>46228.0</v>
      </c>
    </row>
    <row r="95" ht="56.25" customHeight="1">
      <c r="B95" s="11"/>
      <c r="C95" s="11"/>
      <c r="D95" s="11"/>
      <c r="E95" s="11"/>
      <c r="F95" s="11"/>
      <c r="G95" s="11"/>
      <c r="H95" s="12"/>
    </row>
    <row r="96" ht="16.5" customHeight="1">
      <c r="B96" s="9">
        <f t="array" ref="B96:H96">Dias+29+DATE(CalendárioAno7,CaléndárioMês7Opção,1)-WEEKDAY(DATE(CalendárioAno7,CaléndárioMês7Opção,1),DiaDaSemanaOpção)</f>
        <v>46229</v>
      </c>
      <c r="C96" s="9">
        <v>46230.0</v>
      </c>
      <c r="D96" s="9">
        <v>46231.0</v>
      </c>
      <c r="E96" s="9">
        <v>46232.0</v>
      </c>
      <c r="F96" s="9">
        <v>46233.0</v>
      </c>
      <c r="G96" s="9">
        <v>46234.0</v>
      </c>
      <c r="H96" s="10">
        <v>46235.0</v>
      </c>
    </row>
    <row r="97" ht="57.0" customHeight="1">
      <c r="B97" s="11"/>
      <c r="C97" s="11"/>
      <c r="D97" s="11"/>
      <c r="E97" s="11"/>
      <c r="F97" s="11"/>
      <c r="G97" s="11"/>
      <c r="H97" s="13"/>
    </row>
    <row r="98" ht="16.5" customHeight="1">
      <c r="B98" s="9">
        <f t="array" ref="B98:C98">Dias+36+DATE(CalendárioAno7,CaléndárioMês7Opção,1)-WEEKDAY(DATE(CalendárioAno7,CaléndárioMês7Opção,1),DiaDaSemanaOpção)</f>
        <v>46236</v>
      </c>
      <c r="C98" s="9">
        <v>46237.0</v>
      </c>
      <c r="D98" s="25" t="s">
        <v>4</v>
      </c>
      <c r="E98" s="17"/>
      <c r="F98" s="17"/>
      <c r="G98" s="17"/>
      <c r="H98" s="17"/>
    </row>
    <row r="99" ht="63.75" customHeight="1">
      <c r="B99" s="11"/>
      <c r="C99" s="11"/>
      <c r="D99" s="19"/>
    </row>
    <row r="100" ht="54.0" customHeight="1">
      <c r="A100" s="4"/>
      <c r="B100" s="5">
        <f>YEAR(DATE(CalendárioAno7,CaléndárioMês7Opção+1,1))</f>
        <v>2026</v>
      </c>
      <c r="C100" s="6" t="str">
        <f>TEXT(DATE(CalendárioAno7,CaléndárioMês7Opção+1,1),"mmmm")</f>
        <v>agosto</v>
      </c>
      <c r="F100" s="4"/>
      <c r="G100" s="4"/>
      <c r="H100" s="4"/>
    </row>
    <row r="101" ht="14.25" customHeight="1">
      <c r="A101" s="7"/>
      <c r="B101" s="8" t="str">
        <f t="shared" ref="B101:H101" si="8">UPPER(TEXT(B102,"dddd"))</f>
        <v>DOMINGO</v>
      </c>
      <c r="C101" s="8" t="str">
        <f t="shared" si="8"/>
        <v>SEGUNDA-FEIRA</v>
      </c>
      <c r="D101" s="8" t="str">
        <f t="shared" si="8"/>
        <v>TERÇA-FEIRA</v>
      </c>
      <c r="E101" s="8" t="str">
        <f t="shared" si="8"/>
        <v>QUARTA-FEIRA</v>
      </c>
      <c r="F101" s="8" t="str">
        <f t="shared" si="8"/>
        <v>QUINTA-FEIRA</v>
      </c>
      <c r="G101" s="8" t="str">
        <f t="shared" si="8"/>
        <v>SEXTA-FEIRA</v>
      </c>
      <c r="H101" s="8" t="str">
        <f t="shared" si="8"/>
        <v>SÁBADO</v>
      </c>
    </row>
    <row r="102" ht="16.5" customHeight="1">
      <c r="B102" s="9">
        <f t="array" ref="B102:H102">Dias+1+DATE(CalendárioAno8,CaléndárioMês8Opção,1)-WEEKDAY(DATE(CalendárioAno8,CaléndárioMês8Opção,1),DiaDaSemanaOpção)</f>
        <v>46229</v>
      </c>
      <c r="C102" s="9">
        <v>46230.0</v>
      </c>
      <c r="D102" s="9">
        <v>46231.0</v>
      </c>
      <c r="E102" s="9">
        <v>46232.0</v>
      </c>
      <c r="F102" s="9">
        <v>46233.0</v>
      </c>
      <c r="G102" s="9">
        <v>46234.0</v>
      </c>
      <c r="H102" s="10">
        <v>46235.0</v>
      </c>
    </row>
    <row r="103" ht="56.25" customHeight="1">
      <c r="B103" s="11"/>
      <c r="C103" s="11"/>
      <c r="D103" s="11"/>
      <c r="E103" s="11"/>
      <c r="F103" s="11"/>
      <c r="G103" s="11"/>
      <c r="H103" s="12"/>
    </row>
    <row r="104" ht="16.5" customHeight="1">
      <c r="B104" s="9">
        <f t="array" ref="B104:H104">Dias+8+DATE(CalendárioAno8,CaléndárioMês8Opção,1)-WEEKDAY(DATE(CalendárioAno8,CaléndárioMês8Opção,1),DiaDaSemanaOpção)</f>
        <v>46236</v>
      </c>
      <c r="C104" s="9">
        <v>46237.0</v>
      </c>
      <c r="D104" s="9">
        <v>46238.0</v>
      </c>
      <c r="E104" s="9">
        <v>46239.0</v>
      </c>
      <c r="F104" s="9">
        <v>46240.0</v>
      </c>
      <c r="G104" s="9">
        <v>46241.0</v>
      </c>
      <c r="H104" s="10">
        <v>46242.0</v>
      </c>
    </row>
    <row r="105" ht="56.25" customHeight="1">
      <c r="B105" s="11"/>
      <c r="C105" s="11"/>
      <c r="D105" s="11"/>
      <c r="E105" s="11"/>
      <c r="F105" s="11"/>
      <c r="G105" s="11"/>
      <c r="H105" s="12"/>
    </row>
    <row r="106" ht="16.5" customHeight="1">
      <c r="B106" s="9">
        <f t="array" ref="B106:H106">Dias+15+DATE(CalendárioAno8,CaléndárioMês8Opção,1)-WEEKDAY(DATE(CalendárioAno8,CaléndárioMês8Opção,1),DiaDaSemanaOpção)</f>
        <v>46243</v>
      </c>
      <c r="C106" s="9">
        <v>46244.0</v>
      </c>
      <c r="D106" s="9">
        <v>46245.0</v>
      </c>
      <c r="E106" s="9">
        <v>46246.0</v>
      </c>
      <c r="F106" s="9">
        <v>46247.0</v>
      </c>
      <c r="G106" s="9">
        <v>46248.0</v>
      </c>
      <c r="H106" s="10">
        <v>46249.0</v>
      </c>
    </row>
    <row r="107" ht="56.25" customHeight="1">
      <c r="B107" s="11"/>
      <c r="C107" s="11"/>
      <c r="D107" s="11"/>
      <c r="E107" s="11"/>
      <c r="F107" s="11"/>
      <c r="G107" s="11"/>
      <c r="H107" s="12"/>
    </row>
    <row r="108" ht="16.5" customHeight="1">
      <c r="B108" s="9">
        <f t="array" ref="B108:H108">Dias+22+DATE(CalendárioAno8,CaléndárioMês8Opção,1)-WEEKDAY(DATE(CalendárioAno8,CaléndárioMês8Opção,1),DiaDaSemanaOpção)</f>
        <v>46250</v>
      </c>
      <c r="C108" s="9">
        <v>46251.0</v>
      </c>
      <c r="D108" s="9">
        <v>46252.0</v>
      </c>
      <c r="E108" s="9">
        <v>46253.0</v>
      </c>
      <c r="F108" s="9">
        <v>46254.0</v>
      </c>
      <c r="G108" s="9">
        <v>46255.0</v>
      </c>
      <c r="H108" s="10">
        <v>46256.0</v>
      </c>
    </row>
    <row r="109" ht="56.25" customHeight="1">
      <c r="B109" s="11"/>
      <c r="C109" s="11"/>
      <c r="D109" s="11"/>
      <c r="E109" s="11"/>
      <c r="F109" s="11"/>
      <c r="G109" s="11"/>
      <c r="H109" s="12"/>
    </row>
    <row r="110" ht="16.5" customHeight="1">
      <c r="B110" s="9">
        <f t="array" ref="B110:H110">Dias+29+DATE(CalendárioAno8,CaléndárioMês8Opção,1)-WEEKDAY(DATE(CalendárioAno8,CaléndárioMês8Opção,1),DiaDaSemanaOpção)</f>
        <v>46257</v>
      </c>
      <c r="C110" s="9">
        <v>46258.0</v>
      </c>
      <c r="D110" s="9">
        <v>46259.0</v>
      </c>
      <c r="E110" s="9">
        <v>46260.0</v>
      </c>
      <c r="F110" s="9">
        <v>46261.0</v>
      </c>
      <c r="G110" s="9">
        <v>46262.0</v>
      </c>
      <c r="H110" s="10">
        <v>46263.0</v>
      </c>
    </row>
    <row r="111" ht="57.0" customHeight="1">
      <c r="B111" s="11"/>
      <c r="C111" s="11"/>
      <c r="D111" s="11"/>
      <c r="E111" s="11"/>
      <c r="F111" s="11"/>
      <c r="G111" s="11"/>
      <c r="H111" s="13"/>
    </row>
    <row r="112" ht="16.5" customHeight="1">
      <c r="B112" s="9">
        <f t="array" ref="B112:C112">Dias+36+DATE(CalendárioAno8,CaléndárioMês8Opção,1)-WEEKDAY(DATE(CalendárioAno8,CaléndárioMês8Opção,1),DiaDaSemanaOpção)</f>
        <v>46264</v>
      </c>
      <c r="C112" s="9">
        <v>46265.0</v>
      </c>
      <c r="D112" s="25" t="s">
        <v>4</v>
      </c>
      <c r="E112" s="17"/>
      <c r="F112" s="17"/>
      <c r="G112" s="17"/>
      <c r="H112" s="17"/>
    </row>
    <row r="113" ht="63.75" customHeight="1">
      <c r="B113" s="11"/>
      <c r="C113" s="11"/>
      <c r="D113" s="19"/>
    </row>
    <row r="114" ht="54.0" customHeight="1">
      <c r="A114" s="4"/>
      <c r="B114" s="5">
        <f>YEAR(DATE(CalendárioAno8,CaléndárioMês8Opção+1,1))</f>
        <v>2026</v>
      </c>
      <c r="C114" s="6" t="str">
        <f>TEXT(DATE(CalendárioAno8,CaléndárioMês8Opção+1,1),"mmmm")</f>
        <v>setembro</v>
      </c>
      <c r="F114" s="4"/>
      <c r="G114" s="4"/>
      <c r="H114" s="4"/>
    </row>
    <row r="115" ht="14.25" customHeight="1">
      <c r="A115" s="7"/>
      <c r="B115" s="8" t="str">
        <f t="shared" ref="B115:H115" si="9">UPPER(TEXT(B116,"dddd"))</f>
        <v>DOMINGO</v>
      </c>
      <c r="C115" s="8" t="str">
        <f t="shared" si="9"/>
        <v>SEGUNDA-FEIRA</v>
      </c>
      <c r="D115" s="8" t="str">
        <f t="shared" si="9"/>
        <v>TERÇA-FEIRA</v>
      </c>
      <c r="E115" s="8" t="str">
        <f t="shared" si="9"/>
        <v>QUARTA-FEIRA</v>
      </c>
      <c r="F115" s="8" t="str">
        <f t="shared" si="9"/>
        <v>QUINTA-FEIRA</v>
      </c>
      <c r="G115" s="8" t="str">
        <f t="shared" si="9"/>
        <v>SEXTA-FEIRA</v>
      </c>
      <c r="H115" s="8" t="str">
        <f t="shared" si="9"/>
        <v>SÁBADO</v>
      </c>
    </row>
    <row r="116" ht="16.5" customHeight="1">
      <c r="B116" s="9">
        <f t="array" ref="B116:H116">Dias+1+DATE(CalendárioAno9,CaléndárioMês9Opção,1)-WEEKDAY(DATE(CalendárioAno9,CaléndárioMês9Opção,1),DiaDaSemanaOpção)</f>
        <v>46264</v>
      </c>
      <c r="C116" s="9">
        <v>46265.0</v>
      </c>
      <c r="D116" s="9">
        <v>46266.0</v>
      </c>
      <c r="E116" s="9">
        <v>46267.0</v>
      </c>
      <c r="F116" s="9">
        <v>46268.0</v>
      </c>
      <c r="G116" s="9">
        <v>46269.0</v>
      </c>
      <c r="H116" s="10">
        <v>46270.0</v>
      </c>
    </row>
    <row r="117" ht="56.25" customHeight="1">
      <c r="B117" s="11"/>
      <c r="C117" s="11"/>
      <c r="D117" s="11"/>
      <c r="E117" s="11"/>
      <c r="F117" s="11"/>
      <c r="G117" s="11"/>
      <c r="H117" s="43" t="s">
        <v>59</v>
      </c>
    </row>
    <row r="118" ht="16.5" customHeight="1">
      <c r="B118" s="9">
        <f t="array" ref="B118:H118">Dias+8+DATE(CalendárioAno9,CaléndárioMês9Opção,1)-WEEKDAY(DATE(CalendárioAno9,CaléndárioMês9Opção,1),DiaDaSemanaOpção)</f>
        <v>46271</v>
      </c>
      <c r="C118" s="9">
        <v>46272.0</v>
      </c>
      <c r="D118" s="9">
        <v>46273.0</v>
      </c>
      <c r="E118" s="9">
        <v>46274.0</v>
      </c>
      <c r="F118" s="9">
        <v>46275.0</v>
      </c>
      <c r="G118" s="9">
        <v>46276.0</v>
      </c>
      <c r="H118" s="10">
        <v>46277.0</v>
      </c>
    </row>
    <row r="119" ht="56.25" customHeight="1">
      <c r="B119" s="11"/>
      <c r="C119" s="43" t="s">
        <v>60</v>
      </c>
      <c r="D119" s="11"/>
      <c r="E119" s="11"/>
      <c r="F119" s="11"/>
      <c r="G119" s="11"/>
      <c r="H119" s="12"/>
    </row>
    <row r="120" ht="16.5" customHeight="1">
      <c r="B120" s="9">
        <f t="array" ref="B120:H120">Dias+15+DATE(CalendárioAno9,CaléndárioMês9Opção,1)-WEEKDAY(DATE(CalendárioAno9,CaléndárioMês9Opção,1),DiaDaSemanaOpção)</f>
        <v>46278</v>
      </c>
      <c r="C120" s="9">
        <v>46279.0</v>
      </c>
      <c r="D120" s="9">
        <v>46280.0</v>
      </c>
      <c r="E120" s="9">
        <v>46281.0</v>
      </c>
      <c r="F120" s="9">
        <v>46282.0</v>
      </c>
      <c r="G120" s="9">
        <v>46283.0</v>
      </c>
      <c r="H120" s="10">
        <v>46284.0</v>
      </c>
    </row>
    <row r="121" ht="56.25" customHeight="1">
      <c r="B121" s="11"/>
      <c r="C121" s="11"/>
      <c r="D121" s="11"/>
      <c r="E121" s="11"/>
      <c r="F121" s="11"/>
      <c r="G121" s="11"/>
      <c r="H121" s="12"/>
    </row>
    <row r="122" ht="16.5" customHeight="1">
      <c r="B122" s="9">
        <f t="array" ref="B122:H122">Dias+22+DATE(CalendárioAno9,CaléndárioMês9Opção,1)-WEEKDAY(DATE(CalendárioAno9,CaléndárioMês9Opção,1),DiaDaSemanaOpção)</f>
        <v>46285</v>
      </c>
      <c r="C122" s="9">
        <v>46286.0</v>
      </c>
      <c r="D122" s="9">
        <v>46287.0</v>
      </c>
      <c r="E122" s="9">
        <v>46288.0</v>
      </c>
      <c r="F122" s="9">
        <v>46289.0</v>
      </c>
      <c r="G122" s="9">
        <v>46290.0</v>
      </c>
      <c r="H122" s="10">
        <v>46291.0</v>
      </c>
    </row>
    <row r="123" ht="56.25" customHeight="1">
      <c r="B123" s="11"/>
      <c r="C123" s="11"/>
      <c r="D123" s="11"/>
      <c r="E123" s="11"/>
      <c r="F123" s="11"/>
      <c r="G123" s="11"/>
      <c r="H123" s="12"/>
    </row>
    <row r="124" ht="16.5" customHeight="1">
      <c r="B124" s="9">
        <f t="array" ref="B124:H124">Dias+29+DATE(CalendárioAno9,CaléndárioMês9Opção,1)-WEEKDAY(DATE(CalendárioAno9,CaléndárioMês9Opção,1),DiaDaSemanaOpção)</f>
        <v>46292</v>
      </c>
      <c r="C124" s="9">
        <v>46293.0</v>
      </c>
      <c r="D124" s="9">
        <v>46294.0</v>
      </c>
      <c r="E124" s="9">
        <v>46295.0</v>
      </c>
      <c r="F124" s="9">
        <v>46296.0</v>
      </c>
      <c r="G124" s="9">
        <v>46297.0</v>
      </c>
      <c r="H124" s="10">
        <v>46298.0</v>
      </c>
    </row>
    <row r="125" ht="57.0" customHeight="1">
      <c r="B125" s="11"/>
      <c r="C125" s="11"/>
      <c r="D125" s="11"/>
      <c r="E125" s="11"/>
      <c r="F125" s="11"/>
      <c r="G125" s="11"/>
      <c r="H125" s="13"/>
    </row>
    <row r="126" ht="16.5" customHeight="1">
      <c r="B126" s="9">
        <f t="array" ref="B126:C126">Dias+36+DATE(CalendárioAno9,CaléndárioMês9Opção,1)-WEEKDAY(DATE(CalendárioAno9,CaléndárioMês9Opção,1),DiaDaSemanaOpção)</f>
        <v>46299</v>
      </c>
      <c r="C126" s="9">
        <v>46300.0</v>
      </c>
      <c r="D126" s="25" t="s">
        <v>4</v>
      </c>
      <c r="E126" s="17"/>
      <c r="F126" s="17"/>
      <c r="G126" s="17"/>
      <c r="H126" s="17"/>
    </row>
    <row r="127" ht="63.75" customHeight="1">
      <c r="B127" s="11"/>
      <c r="C127" s="11"/>
      <c r="D127" s="19"/>
    </row>
    <row r="128" ht="54.0" customHeight="1">
      <c r="A128" s="4"/>
      <c r="B128" s="5">
        <f>YEAR(DATE(CalendárioAno9,CaléndárioMês9Opção+1,1))</f>
        <v>2026</v>
      </c>
      <c r="C128" s="6" t="str">
        <f>TEXT(DATE(CalendárioAno9,CaléndárioMês9Opção+1,1),"mmmm")</f>
        <v>outubro</v>
      </c>
      <c r="F128" s="4"/>
      <c r="G128" s="4"/>
      <c r="H128" s="4"/>
    </row>
    <row r="129" ht="14.25" customHeight="1">
      <c r="A129" s="7"/>
      <c r="B129" s="8" t="str">
        <f t="shared" ref="B129:H129" si="10">UPPER(TEXT(B130,"dddd"))</f>
        <v>DOMINGO</v>
      </c>
      <c r="C129" s="8" t="str">
        <f t="shared" si="10"/>
        <v>SEGUNDA-FEIRA</v>
      </c>
      <c r="D129" s="8" t="str">
        <f t="shared" si="10"/>
        <v>TERÇA-FEIRA</v>
      </c>
      <c r="E129" s="8" t="str">
        <f t="shared" si="10"/>
        <v>QUARTA-FEIRA</v>
      </c>
      <c r="F129" s="8" t="str">
        <f t="shared" si="10"/>
        <v>QUINTA-FEIRA</v>
      </c>
      <c r="G129" s="8" t="str">
        <f t="shared" si="10"/>
        <v>SEXTA-FEIRA</v>
      </c>
      <c r="H129" s="8" t="str">
        <f t="shared" si="10"/>
        <v>SÁBADO</v>
      </c>
    </row>
    <row r="130" ht="16.5" customHeight="1">
      <c r="B130" s="9">
        <f t="array" ref="B130:H130">Dias+1+DATE(CalendárioAno10,CaléndárioMês10Opção,1)-WEEKDAY(DATE(CalendárioAno10,CaléndárioMês10Opção,1),DiaDaSemanaOpção)</f>
        <v>46292</v>
      </c>
      <c r="C130" s="9">
        <v>46293.0</v>
      </c>
      <c r="D130" s="9">
        <v>46294.0</v>
      </c>
      <c r="E130" s="9">
        <v>46295.0</v>
      </c>
      <c r="F130" s="9">
        <v>46296.0</v>
      </c>
      <c r="G130" s="9">
        <v>46297.0</v>
      </c>
      <c r="H130" s="10">
        <v>46298.0</v>
      </c>
    </row>
    <row r="131" ht="56.25" customHeight="1">
      <c r="B131" s="11"/>
      <c r="C131" s="11"/>
      <c r="D131" s="11"/>
      <c r="E131" s="11"/>
      <c r="F131" s="11"/>
      <c r="G131" s="11"/>
      <c r="H131" s="12"/>
    </row>
    <row r="132" ht="16.5" customHeight="1">
      <c r="B132" s="9">
        <f t="array" ref="B132:H132">Dias+8+DATE(CalendárioAno10,CaléndárioMês10Opção,1)-WEEKDAY(DATE(CalendárioAno10,CaléndárioMês10Opção,1),DiaDaSemanaOpção)</f>
        <v>46299</v>
      </c>
      <c r="C132" s="9">
        <v>46300.0</v>
      </c>
      <c r="D132" s="9">
        <v>46301.0</v>
      </c>
      <c r="E132" s="9">
        <v>46302.0</v>
      </c>
      <c r="F132" s="9">
        <v>46303.0</v>
      </c>
      <c r="G132" s="9">
        <v>46304.0</v>
      </c>
      <c r="H132" s="10">
        <v>46305.0</v>
      </c>
    </row>
    <row r="133" ht="56.25" customHeight="1">
      <c r="B133" s="11"/>
      <c r="C133" s="11"/>
      <c r="D133" s="11"/>
      <c r="E133" s="11"/>
      <c r="F133" s="11"/>
      <c r="G133" s="11"/>
      <c r="H133" s="12"/>
    </row>
    <row r="134" ht="16.5" customHeight="1">
      <c r="B134" s="9">
        <f t="array" ref="B134:H134">Dias+15+DATE(CalendárioAno10,CaléndárioMês10Opção,1)-WEEKDAY(DATE(CalendárioAno10,CaléndárioMês10Opção,1),DiaDaSemanaOpção)</f>
        <v>46306</v>
      </c>
      <c r="C134" s="9">
        <v>46307.0</v>
      </c>
      <c r="D134" s="9">
        <v>46308.0</v>
      </c>
      <c r="E134" s="9">
        <v>46309.0</v>
      </c>
      <c r="F134" s="9">
        <v>46310.0</v>
      </c>
      <c r="G134" s="9">
        <v>46311.0</v>
      </c>
      <c r="H134" s="10">
        <v>46312.0</v>
      </c>
    </row>
    <row r="135" ht="56.25" customHeight="1">
      <c r="B135" s="11"/>
      <c r="C135" s="44" t="s">
        <v>61</v>
      </c>
      <c r="D135" s="11"/>
      <c r="E135" s="11"/>
      <c r="F135" s="44" t="s">
        <v>62</v>
      </c>
      <c r="G135" s="11"/>
      <c r="H135" s="12"/>
    </row>
    <row r="136" ht="16.5" customHeight="1">
      <c r="B136" s="9">
        <f t="array" ref="B136:H136">Dias+22+DATE(CalendárioAno10,CaléndárioMês10Opção,1)-WEEKDAY(DATE(CalendárioAno10,CaléndárioMês10Opção,1),DiaDaSemanaOpção)</f>
        <v>46313</v>
      </c>
      <c r="C136" s="9">
        <v>46314.0</v>
      </c>
      <c r="D136" s="9">
        <v>46315.0</v>
      </c>
      <c r="E136" s="9">
        <v>46316.0</v>
      </c>
      <c r="F136" s="9">
        <v>46317.0</v>
      </c>
      <c r="G136" s="9">
        <v>46318.0</v>
      </c>
      <c r="H136" s="10">
        <v>46319.0</v>
      </c>
    </row>
    <row r="137" ht="56.25" customHeight="1">
      <c r="B137" s="11"/>
      <c r="C137" s="11"/>
      <c r="D137" s="11"/>
      <c r="E137" s="11"/>
      <c r="F137" s="11"/>
      <c r="G137" s="11"/>
      <c r="H137" s="12"/>
    </row>
    <row r="138" ht="16.5" customHeight="1">
      <c r="B138" s="9">
        <f t="array" ref="B138:H138">Dias+29+DATE(CalendárioAno10,CaléndárioMês10Opção,1)-WEEKDAY(DATE(CalendárioAno10,CaléndárioMês10Opção,1),DiaDaSemanaOpção)</f>
        <v>46320</v>
      </c>
      <c r="C138" s="9">
        <v>46321.0</v>
      </c>
      <c r="D138" s="9">
        <v>46322.0</v>
      </c>
      <c r="E138" s="9">
        <v>46323.0</v>
      </c>
      <c r="F138" s="9">
        <v>46324.0</v>
      </c>
      <c r="G138" s="9">
        <v>46325.0</v>
      </c>
      <c r="H138" s="10">
        <v>46326.0</v>
      </c>
    </row>
    <row r="139" ht="57.0" customHeight="1">
      <c r="B139" s="11"/>
      <c r="C139" s="11"/>
      <c r="D139" s="11"/>
      <c r="E139" s="44" t="s">
        <v>63</v>
      </c>
      <c r="F139" s="11"/>
      <c r="G139" s="11"/>
      <c r="H139" s="13"/>
    </row>
    <row r="140" ht="16.5" customHeight="1">
      <c r="B140" s="9">
        <f t="array" ref="B140:C140">Dias+36+DATE(CalendárioAno10,CaléndárioMês10Opção,1)-WEEKDAY(DATE(CalendárioAno10,CaléndárioMês10Opção,1),DiaDaSemanaOpção)</f>
        <v>46327</v>
      </c>
      <c r="C140" s="9">
        <v>46328.0</v>
      </c>
      <c r="D140" s="25" t="s">
        <v>4</v>
      </c>
      <c r="E140" s="17"/>
      <c r="F140" s="17"/>
      <c r="G140" s="17"/>
      <c r="H140" s="17"/>
    </row>
    <row r="141" ht="63.75" customHeight="1">
      <c r="B141" s="11"/>
      <c r="C141" s="11"/>
      <c r="D141" s="19"/>
    </row>
    <row r="142" ht="54.0" customHeight="1">
      <c r="B142" s="5">
        <f>YEAR(DATE(CalendárioAno10,CaléndárioMês10Opção+1,1))</f>
        <v>2026</v>
      </c>
      <c r="C142" s="6" t="str">
        <f>TEXT(DATE(CalendárioAno10,CaléndárioMês10Opção+1,1),"mmmm")</f>
        <v>novembro</v>
      </c>
      <c r="F142" s="4"/>
      <c r="G142" s="4"/>
      <c r="H142" s="4"/>
    </row>
    <row r="143" ht="14.25" customHeight="1">
      <c r="B143" s="8" t="str">
        <f t="shared" ref="B143:H143" si="11">UPPER(TEXT(B144,"dddd"))</f>
        <v>DOMINGO</v>
      </c>
      <c r="C143" s="8" t="str">
        <f t="shared" si="11"/>
        <v>SEGUNDA-FEIRA</v>
      </c>
      <c r="D143" s="8" t="str">
        <f t="shared" si="11"/>
        <v>TERÇA-FEIRA</v>
      </c>
      <c r="E143" s="8" t="str">
        <f t="shared" si="11"/>
        <v>QUARTA-FEIRA</v>
      </c>
      <c r="F143" s="8" t="str">
        <f t="shared" si="11"/>
        <v>QUINTA-FEIRA</v>
      </c>
      <c r="G143" s="8" t="str">
        <f t="shared" si="11"/>
        <v>SEXTA-FEIRA</v>
      </c>
      <c r="H143" s="8" t="str">
        <f t="shared" si="11"/>
        <v>SÁBADO</v>
      </c>
    </row>
    <row r="144" ht="16.5" customHeight="1">
      <c r="B144" s="9">
        <f t="array" ref="B144:H144">Dias+1+DATE(CalendárioAno11,CaléndárioMês11Opção,1)-WEEKDAY(DATE(CalendárioAno11,CaléndárioMês11Opção,1),DiaDaSemanaOpção)</f>
        <v>46327</v>
      </c>
      <c r="C144" s="9">
        <v>46328.0</v>
      </c>
      <c r="D144" s="9">
        <v>46329.0</v>
      </c>
      <c r="E144" s="9">
        <v>46330.0</v>
      </c>
      <c r="F144" s="9">
        <v>46331.0</v>
      </c>
      <c r="G144" s="9">
        <v>46332.0</v>
      </c>
      <c r="H144" s="10">
        <v>46333.0</v>
      </c>
    </row>
    <row r="145" ht="56.25" customHeight="1">
      <c r="B145" s="11"/>
      <c r="C145" s="44" t="s">
        <v>64</v>
      </c>
      <c r="D145" s="11"/>
      <c r="E145" s="11"/>
      <c r="F145" s="11"/>
      <c r="G145" s="11"/>
      <c r="H145" s="12"/>
    </row>
    <row r="146" ht="16.5" customHeight="1">
      <c r="B146" s="9">
        <f t="array" ref="B146:H146">Dias+8+DATE(CalendárioAno11,CaléndárioMês11Opção,1)-WEEKDAY(DATE(CalendárioAno11,CaléndárioMês11Opção,1),DiaDaSemanaOpção)</f>
        <v>46334</v>
      </c>
      <c r="C146" s="9">
        <v>46335.0</v>
      </c>
      <c r="D146" s="9">
        <v>46336.0</v>
      </c>
      <c r="E146" s="9">
        <v>46337.0</v>
      </c>
      <c r="F146" s="9">
        <v>46338.0</v>
      </c>
      <c r="G146" s="9">
        <v>46339.0</v>
      </c>
      <c r="H146" s="10">
        <v>46340.0</v>
      </c>
    </row>
    <row r="147" ht="56.25" customHeight="1">
      <c r="B147" s="11"/>
      <c r="C147" s="11"/>
      <c r="D147" s="11"/>
      <c r="E147" s="11"/>
      <c r="F147" s="11"/>
      <c r="G147" s="11"/>
      <c r="H147" s="12"/>
    </row>
    <row r="148" ht="16.5" customHeight="1">
      <c r="B148" s="9">
        <f t="array" ref="B148:H148">Dias+15+DATE(CalendárioAno11,CaléndárioMês11Opção,1)-WEEKDAY(DATE(CalendárioAno11,CaléndárioMês11Opção,1),DiaDaSemanaOpção)</f>
        <v>46341</v>
      </c>
      <c r="C148" s="9">
        <v>46342.0</v>
      </c>
      <c r="D148" s="9">
        <v>46343.0</v>
      </c>
      <c r="E148" s="9">
        <v>46344.0</v>
      </c>
      <c r="F148" s="9">
        <v>46345.0</v>
      </c>
      <c r="G148" s="9">
        <v>46346.0</v>
      </c>
      <c r="H148" s="10">
        <v>46347.0</v>
      </c>
    </row>
    <row r="149" ht="56.25" customHeight="1">
      <c r="B149" s="44" t="s">
        <v>65</v>
      </c>
      <c r="C149" s="11"/>
      <c r="D149" s="11"/>
      <c r="E149" s="11"/>
      <c r="F149" s="11"/>
      <c r="G149" s="45" t="s">
        <v>66</v>
      </c>
      <c r="H149" s="12"/>
    </row>
    <row r="150" ht="16.5" customHeight="1">
      <c r="B150" s="9">
        <f t="array" ref="B150:H150">Dias+22+DATE(CalendárioAno11,CaléndárioMês11Opção,1)-WEEKDAY(DATE(CalendárioAno11,CaléndárioMês11Opção,1),DiaDaSemanaOpção)</f>
        <v>46348</v>
      </c>
      <c r="C150" s="9">
        <v>46349.0</v>
      </c>
      <c r="D150" s="9">
        <v>46350.0</v>
      </c>
      <c r="E150" s="9">
        <v>46351.0</v>
      </c>
      <c r="F150" s="9">
        <v>46352.0</v>
      </c>
      <c r="G150" s="9">
        <v>46353.0</v>
      </c>
      <c r="H150" s="10">
        <v>46354.0</v>
      </c>
    </row>
    <row r="151" ht="56.25" customHeight="1">
      <c r="B151" s="11"/>
      <c r="C151" s="11"/>
      <c r="D151" s="11"/>
      <c r="E151" s="11"/>
      <c r="F151" s="11"/>
      <c r="G151" s="11"/>
      <c r="H151" s="12"/>
    </row>
    <row r="152" ht="16.5" customHeight="1">
      <c r="B152" s="9">
        <f t="array" ref="B152:H152">Dias+29+DATE(CalendárioAno11,CaléndárioMês11Opção,1)-WEEKDAY(DATE(CalendárioAno11,CaléndárioMês11Opção,1),DiaDaSemanaOpção)</f>
        <v>46355</v>
      </c>
      <c r="C152" s="9">
        <v>46356.0</v>
      </c>
      <c r="D152" s="9">
        <v>46357.0</v>
      </c>
      <c r="E152" s="9">
        <v>46358.0</v>
      </c>
      <c r="F152" s="9">
        <v>46359.0</v>
      </c>
      <c r="G152" s="9">
        <v>46360.0</v>
      </c>
      <c r="H152" s="10">
        <v>46361.0</v>
      </c>
    </row>
    <row r="153" ht="57.0" customHeight="1">
      <c r="B153" s="11"/>
      <c r="C153" s="11"/>
      <c r="D153" s="11"/>
      <c r="E153" s="11"/>
      <c r="F153" s="11"/>
      <c r="G153" s="11"/>
      <c r="H153" s="13"/>
    </row>
    <row r="154" ht="16.5" customHeight="1">
      <c r="B154" s="9">
        <f t="array" ref="B154:C154">Dias+36+DATE(CalendárioAno11,CaléndárioMês11Opção,1)-WEEKDAY(DATE(CalendárioAno11,CaléndárioMês11Opção,1),DiaDaSemanaOpção)</f>
        <v>46362</v>
      </c>
      <c r="C154" s="9">
        <v>46363.0</v>
      </c>
      <c r="D154" s="25" t="s">
        <v>4</v>
      </c>
      <c r="E154" s="17"/>
      <c r="F154" s="17"/>
      <c r="G154" s="17"/>
      <c r="H154" s="17"/>
    </row>
    <row r="155" ht="63.75" customHeight="1">
      <c r="B155" s="11"/>
      <c r="C155" s="11"/>
      <c r="D155" s="19"/>
    </row>
    <row r="156" ht="54.0" customHeight="1">
      <c r="B156" s="5">
        <f>YEAR(DATE(CalendárioAno11,CaléndárioMês11Opção+1,1))</f>
        <v>2026</v>
      </c>
      <c r="C156" s="6" t="str">
        <f>TEXT(DATE(CalendárioAno11,CaléndárioMês11Opção+1,1),"mmmm")</f>
        <v>dezembro</v>
      </c>
      <c r="F156" s="4"/>
      <c r="G156" s="4"/>
      <c r="H156" s="4"/>
    </row>
    <row r="157" ht="14.25" customHeight="1">
      <c r="B157" s="8" t="str">
        <f t="shared" ref="B157:H157" si="12">UPPER(TEXT(B158,"dddd"))</f>
        <v>DOMINGO</v>
      </c>
      <c r="C157" s="8" t="str">
        <f t="shared" si="12"/>
        <v>SEGUNDA-FEIRA</v>
      </c>
      <c r="D157" s="8" t="str">
        <f t="shared" si="12"/>
        <v>TERÇA-FEIRA</v>
      </c>
      <c r="E157" s="8" t="str">
        <f t="shared" si="12"/>
        <v>QUARTA-FEIRA</v>
      </c>
      <c r="F157" s="8" t="str">
        <f t="shared" si="12"/>
        <v>QUINTA-FEIRA</v>
      </c>
      <c r="G157" s="8" t="str">
        <f t="shared" si="12"/>
        <v>SEXTA-FEIRA</v>
      </c>
      <c r="H157" s="8" t="str">
        <f t="shared" si="12"/>
        <v>SÁBADO</v>
      </c>
    </row>
    <row r="158" ht="16.5" customHeight="1">
      <c r="B158" s="9">
        <f t="array" ref="B158:H158">Dias+1+DATE(CalendárioAno12,CaléndárioMês12Opção,1)-WEEKDAY(DATE(CalendárioAno12,CaléndárioMês12Opção,1),DiaDaSemanaOpção)</f>
        <v>46355</v>
      </c>
      <c r="C158" s="9">
        <v>46356.0</v>
      </c>
      <c r="D158" s="9">
        <v>46357.0</v>
      </c>
      <c r="E158" s="9">
        <v>46358.0</v>
      </c>
      <c r="F158" s="9">
        <v>46359.0</v>
      </c>
      <c r="G158" s="9">
        <v>46360.0</v>
      </c>
      <c r="H158" s="10">
        <v>46361.0</v>
      </c>
    </row>
    <row r="159" ht="56.25" customHeight="1">
      <c r="B159" s="11"/>
      <c r="C159" s="11"/>
      <c r="D159" s="11"/>
      <c r="E159" s="11"/>
      <c r="F159" s="11"/>
      <c r="G159" s="11"/>
      <c r="H159" s="12"/>
    </row>
    <row r="160" ht="16.5" customHeight="1">
      <c r="B160" s="9">
        <f t="array" ref="B160:H160">Dias+8+DATE(CalendárioAno12,CaléndárioMês12Opção,1)-WEEKDAY(DATE(CalendárioAno12,CaléndárioMês12Opção,1),DiaDaSemanaOpção)</f>
        <v>46362</v>
      </c>
      <c r="C160" s="9">
        <v>46363.0</v>
      </c>
      <c r="D160" s="9">
        <v>46364.0</v>
      </c>
      <c r="E160" s="9">
        <v>46365.0</v>
      </c>
      <c r="F160" s="9">
        <v>46366.0</v>
      </c>
      <c r="G160" s="9">
        <v>46367.0</v>
      </c>
      <c r="H160" s="10">
        <v>46368.0</v>
      </c>
    </row>
    <row r="161" ht="56.25" customHeight="1">
      <c r="B161" s="11"/>
      <c r="C161" s="11"/>
      <c r="D161" s="45" t="s">
        <v>67</v>
      </c>
      <c r="E161" s="11"/>
      <c r="F161" s="11"/>
      <c r="G161" s="11"/>
      <c r="H161" s="12"/>
    </row>
    <row r="162" ht="16.5" customHeight="1">
      <c r="B162" s="9">
        <f t="array" ref="B162:H162">Dias+15+DATE(CalendárioAno12,CaléndárioMês12Opção,1)-WEEKDAY(DATE(CalendárioAno12,CaléndárioMês12Opção,1),DiaDaSemanaOpção)</f>
        <v>46369</v>
      </c>
      <c r="C162" s="9">
        <v>46370.0</v>
      </c>
      <c r="D162" s="9">
        <v>46371.0</v>
      </c>
      <c r="E162" s="9">
        <v>46372.0</v>
      </c>
      <c r="F162" s="9">
        <v>46373.0</v>
      </c>
      <c r="G162" s="9">
        <v>46374.0</v>
      </c>
      <c r="H162" s="10">
        <v>46375.0</v>
      </c>
    </row>
    <row r="163" ht="56.25" customHeight="1">
      <c r="B163" s="11"/>
      <c r="C163" s="11"/>
      <c r="D163" s="11"/>
      <c r="E163" s="11"/>
      <c r="F163" s="11"/>
      <c r="G163" s="11"/>
      <c r="H163" s="12"/>
    </row>
    <row r="164" ht="16.5" customHeight="1">
      <c r="B164" s="9">
        <f t="array" ref="B164:H164">Dias+22+DATE(CalendárioAno12,CaléndárioMês12Opção,1)-WEEKDAY(DATE(CalendárioAno12,CaléndárioMês12Opção,1),DiaDaSemanaOpção)</f>
        <v>46376</v>
      </c>
      <c r="C164" s="9">
        <v>46377.0</v>
      </c>
      <c r="D164" s="9">
        <v>46378.0</v>
      </c>
      <c r="E164" s="9">
        <v>46379.0</v>
      </c>
      <c r="F164" s="9">
        <v>46380.0</v>
      </c>
      <c r="G164" s="9">
        <v>46381.0</v>
      </c>
      <c r="H164" s="10">
        <v>46382.0</v>
      </c>
    </row>
    <row r="165" ht="56.25" customHeight="1">
      <c r="B165" s="11"/>
      <c r="C165" s="11"/>
      <c r="D165" s="11"/>
      <c r="E165" s="11"/>
      <c r="F165" s="45" t="s">
        <v>68</v>
      </c>
      <c r="G165" s="45" t="s">
        <v>69</v>
      </c>
      <c r="H165" s="12"/>
    </row>
    <row r="166" ht="16.5" customHeight="1">
      <c r="B166" s="9">
        <f t="array" ref="B166:H166">Dias+29+DATE(CalendárioAno12,CaléndárioMês12Opção,1)-WEEKDAY(DATE(CalendárioAno12,CaléndárioMês12Opção,1),DiaDaSemanaOpção)</f>
        <v>46383</v>
      </c>
      <c r="C166" s="9">
        <v>46384.0</v>
      </c>
      <c r="D166" s="9">
        <v>46385.0</v>
      </c>
      <c r="E166" s="9">
        <v>46386.0</v>
      </c>
      <c r="F166" s="9">
        <v>46387.0</v>
      </c>
      <c r="G166" s="9">
        <v>46388.0</v>
      </c>
      <c r="H166" s="10">
        <v>46389.0</v>
      </c>
    </row>
    <row r="167" ht="57.0" customHeight="1">
      <c r="B167" s="11"/>
      <c r="C167" s="11"/>
      <c r="D167" s="11"/>
      <c r="E167" s="11"/>
      <c r="F167" s="45" t="s">
        <v>70</v>
      </c>
      <c r="G167" s="11"/>
      <c r="H167" s="13"/>
    </row>
    <row r="168" ht="16.5" customHeight="1">
      <c r="B168" s="9">
        <f t="array" ref="B168:C168">Dias+36+DATE(CalendárioAno12,CaléndárioMês12Opção,1)-WEEKDAY(DATE(CalendárioAno12,CaléndárioMês12Opção,1),DiaDaSemanaOpção)</f>
        <v>46390</v>
      </c>
      <c r="C168" s="9">
        <v>46391.0</v>
      </c>
      <c r="D168" s="25" t="s">
        <v>4</v>
      </c>
      <c r="E168" s="17"/>
      <c r="F168" s="17"/>
      <c r="G168" s="17"/>
      <c r="H168" s="17"/>
    </row>
    <row r="169" ht="63.75" customHeight="1">
      <c r="B169" s="11"/>
      <c r="C169" s="11"/>
      <c r="D169" s="19"/>
    </row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7">
    <mergeCell ref="D1:F1"/>
    <mergeCell ref="C2:E2"/>
    <mergeCell ref="D14:H14"/>
    <mergeCell ref="D15:H15"/>
    <mergeCell ref="C16:E16"/>
    <mergeCell ref="D28:H28"/>
    <mergeCell ref="C30:E30"/>
    <mergeCell ref="D29:H29"/>
    <mergeCell ref="D42:H42"/>
    <mergeCell ref="D43:H43"/>
    <mergeCell ref="C44:E44"/>
    <mergeCell ref="D56:H56"/>
    <mergeCell ref="D57:H57"/>
    <mergeCell ref="C58:E58"/>
    <mergeCell ref="D70:H70"/>
    <mergeCell ref="D71:H71"/>
    <mergeCell ref="C72:E72"/>
    <mergeCell ref="D84:H84"/>
    <mergeCell ref="D85:H85"/>
    <mergeCell ref="C86:E86"/>
    <mergeCell ref="D98:H98"/>
    <mergeCell ref="D99:H99"/>
    <mergeCell ref="C100:E100"/>
    <mergeCell ref="D112:H112"/>
    <mergeCell ref="D113:H113"/>
    <mergeCell ref="C114:E114"/>
    <mergeCell ref="D126:H126"/>
    <mergeCell ref="C128:E128"/>
    <mergeCell ref="D168:H168"/>
    <mergeCell ref="D169:H169"/>
    <mergeCell ref="D127:H127"/>
    <mergeCell ref="D140:H140"/>
    <mergeCell ref="D141:H141"/>
    <mergeCell ref="C142:E142"/>
    <mergeCell ref="D154:H154"/>
    <mergeCell ref="D155:H155"/>
    <mergeCell ref="C156:E156"/>
  </mergeCells>
  <dataValidations>
    <dataValidation type="list" allowBlank="1" showInputMessage="1" prompt="Selecione o dia de início da semana nesta célula. Pressione Alt+Seta para baixo para abrir a lista suspensa e depois Enter para fazer a seleção. O calendário será atualizado automaticamente" sqref="B3">
      <formula1>"DOMINGO,SEGUNDA-FEIRA,TERÇA-FEIRA,QUARTA-FEIRA,QUINTA-FEIRA,SEXTA-FEIRA,SÁBADO"</formula1>
    </dataValidation>
    <dataValidation type="list" allowBlank="1" showInputMessage="1" prompt="Selecione o mês de início do calendário nesta célula. Pressione Alt+Seta para baixo para abrir a lista suspensa e Enter para fazer a seleção" sqref="C2">
      <formula1>"janeiro,fevereiro,março,abril,maio,junho,julho,agosto,setembro,outubro,novembro,dezembro"</formula1>
    </dataValidation>
  </dataValidations>
  <printOptions horizontalCentered="1" verticalCentered="1"/>
  <pageMargins bottom="0.75" footer="0.0" header="0.0" left="0.25" right="0.25" top="0.75"/>
  <pageSetup fitToHeight="0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2020-07-08T21:04:32Z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